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3489_6191bb581ef91" sheetId="1" r:id="rId1"/>
  </sheets>
  <definedNames>
    <definedName name="_xlnm.Print_Titles" localSheetId="0">'3489_6191bb581ef91'!$2:$2</definedName>
    <definedName name="_xlnm._FilterDatabase" localSheetId="0" hidden="1">'3489_6191bb581ef91'!$A$2:$C$3135</definedName>
  </definedNames>
  <calcPr fullCalcOnLoad="1"/>
</workbook>
</file>

<file path=xl/sharedStrings.xml><?xml version="1.0" encoding="utf-8"?>
<sst xmlns="http://schemas.openxmlformats.org/spreadsheetml/2006/main" count="6271" uniqueCount="2798">
  <si>
    <t>澄迈县2021年招才引智活动公开招聘事业编制工作人员报名初审合格名单</t>
  </si>
  <si>
    <t>报考号</t>
  </si>
  <si>
    <t>报考岗位</t>
  </si>
  <si>
    <t>姓名</t>
  </si>
  <si>
    <t>身份证号码</t>
  </si>
  <si>
    <t>101_澄迈福橙科学研究所-生产岗</t>
  </si>
  <si>
    <t>460036********4822</t>
  </si>
  <si>
    <t>460027********5655</t>
  </si>
  <si>
    <t>102_澄迈福橙科学研究所-办公室</t>
  </si>
  <si>
    <t>460033********3240</t>
  </si>
  <si>
    <t>460200********3374</t>
  </si>
  <si>
    <t>103_澄迈县热带作物服务中心-生产岗</t>
  </si>
  <si>
    <t>141122********0084</t>
  </si>
  <si>
    <t>140226********7036</t>
  </si>
  <si>
    <t>460025********2413</t>
  </si>
  <si>
    <t>362524********8549</t>
  </si>
  <si>
    <t>460031********0411</t>
  </si>
  <si>
    <t>460028********7244</t>
  </si>
  <si>
    <t>104_澄迈县热带作物服务中心-生产岗</t>
  </si>
  <si>
    <t>460102********0333</t>
  </si>
  <si>
    <t>622323********4174</t>
  </si>
  <si>
    <t>460028********0846</t>
  </si>
  <si>
    <t>460006********0024</t>
  </si>
  <si>
    <t>105_澄迈县热带作物服务中心-生产岗</t>
  </si>
  <si>
    <t>370724********3672</t>
  </si>
  <si>
    <t>452723********0827</t>
  </si>
  <si>
    <t>460007********0024</t>
  </si>
  <si>
    <t>460026********0035</t>
  </si>
  <si>
    <t>460034********184X</t>
  </si>
  <si>
    <t>460033********4549</t>
  </si>
  <si>
    <t>460007********0824</t>
  </si>
  <si>
    <t>460006********3128</t>
  </si>
  <si>
    <t>532524********2224</t>
  </si>
  <si>
    <t>106_澄迈县网络舆情中心-管理岗</t>
  </si>
  <si>
    <t>469003********2782</t>
  </si>
  <si>
    <t>460007********0028</t>
  </si>
  <si>
    <t>460003********5828</t>
  </si>
  <si>
    <t>460028********3612</t>
  </si>
  <si>
    <t>460027********2965</t>
  </si>
  <si>
    <t>460027********4418</t>
  </si>
  <si>
    <t>460003********5637</t>
  </si>
  <si>
    <t>460102********3348</t>
  </si>
  <si>
    <t>140211********4739</t>
  </si>
  <si>
    <t>460003********0621</t>
  </si>
  <si>
    <t>460027********1043</t>
  </si>
  <si>
    <t>460027********6235</t>
  </si>
  <si>
    <t>469001********052X</t>
  </si>
  <si>
    <t>460034********1222</t>
  </si>
  <si>
    <t>220211********4214</t>
  </si>
  <si>
    <t>460104********0929</t>
  </si>
  <si>
    <t>460102********0916</t>
  </si>
  <si>
    <t>452122********1215</t>
  </si>
  <si>
    <t>460102********1568</t>
  </si>
  <si>
    <t>140926********0050</t>
  </si>
  <si>
    <t>460003********3260</t>
  </si>
  <si>
    <t>460027********0666</t>
  </si>
  <si>
    <t>460003********2626</t>
  </si>
  <si>
    <t>460300********0620</t>
  </si>
  <si>
    <t>460004********3621</t>
  </si>
  <si>
    <t>360782********3837</t>
  </si>
  <si>
    <t>460028********4445</t>
  </si>
  <si>
    <t>460003********0429</t>
  </si>
  <si>
    <t>360502********4629</t>
  </si>
  <si>
    <t>460003********2854</t>
  </si>
  <si>
    <t>460031********4420</t>
  </si>
  <si>
    <t>460027********0040</t>
  </si>
  <si>
    <t>460004********2022</t>
  </si>
  <si>
    <t>460104********0024</t>
  </si>
  <si>
    <t>460004********5256</t>
  </si>
  <si>
    <t>460034********5025</t>
  </si>
  <si>
    <t>460028********6834</t>
  </si>
  <si>
    <t>460200********4448</t>
  </si>
  <si>
    <t>460027********5925</t>
  </si>
  <si>
    <t>460027********0024</t>
  </si>
  <si>
    <t>460034********3621</t>
  </si>
  <si>
    <t>141002********0026</t>
  </si>
  <si>
    <t>460003********3224</t>
  </si>
  <si>
    <t>460026********4221</t>
  </si>
  <si>
    <t>469023********0029</t>
  </si>
  <si>
    <t>460006********0012</t>
  </si>
  <si>
    <t>460028********0416</t>
  </si>
  <si>
    <t>460026********5115</t>
  </si>
  <si>
    <t>460002********0521</t>
  </si>
  <si>
    <t>460001********072X</t>
  </si>
  <si>
    <t>440881********3284</t>
  </si>
  <si>
    <t>460028********0029</t>
  </si>
  <si>
    <t>511303********1362</t>
  </si>
  <si>
    <t>460002********5629</t>
  </si>
  <si>
    <t>460004********0211</t>
  </si>
  <si>
    <t>412727********7926</t>
  </si>
  <si>
    <t>460003********2265</t>
  </si>
  <si>
    <t>460027********8508</t>
  </si>
  <si>
    <t>460022********3264</t>
  </si>
  <si>
    <t>460027********6223</t>
  </si>
  <si>
    <t>460027********1726</t>
  </si>
  <si>
    <t>460003********0422</t>
  </si>
  <si>
    <t>460033********5377</t>
  </si>
  <si>
    <t>460027********2940</t>
  </si>
  <si>
    <t>460103********0612</t>
  </si>
  <si>
    <t>460027********0643</t>
  </si>
  <si>
    <t>460035********0922</t>
  </si>
  <si>
    <t>460102********1228</t>
  </si>
  <si>
    <t>460033********3249</t>
  </si>
  <si>
    <t>370883********653X</t>
  </si>
  <si>
    <t>460027********1025</t>
  </si>
  <si>
    <t>460103********1240</t>
  </si>
  <si>
    <t>460027********5915</t>
  </si>
  <si>
    <t>460028********2856</t>
  </si>
  <si>
    <t>650102********0028</t>
  </si>
  <si>
    <t>460004********0021</t>
  </si>
  <si>
    <t>460027********3419</t>
  </si>
  <si>
    <t>460027********0019</t>
  </si>
  <si>
    <t>460031********6827</t>
  </si>
  <si>
    <t>410103********0124</t>
  </si>
  <si>
    <t>460006********3127</t>
  </si>
  <si>
    <t>460006********781X</t>
  </si>
  <si>
    <t>460004********3814</t>
  </si>
  <si>
    <t>460030********0024</t>
  </si>
  <si>
    <t>441284********4126</t>
  </si>
  <si>
    <t>460027********6643</t>
  </si>
  <si>
    <t>460027********8524</t>
  </si>
  <si>
    <t>460003********182X</t>
  </si>
  <si>
    <t>460028********6860</t>
  </si>
  <si>
    <t>460030********5444</t>
  </si>
  <si>
    <t>460003********2227</t>
  </si>
  <si>
    <t>460002********3647</t>
  </si>
  <si>
    <t>460003********7024</t>
  </si>
  <si>
    <t>460028********6028</t>
  </si>
  <si>
    <t>440825********0037</t>
  </si>
  <si>
    <t>460004********4428</t>
  </si>
  <si>
    <t>420626********5523</t>
  </si>
  <si>
    <t>411524********3661</t>
  </si>
  <si>
    <t>460027********4781</t>
  </si>
  <si>
    <t>460027********1357</t>
  </si>
  <si>
    <t>460007********4962</t>
  </si>
  <si>
    <t>460034********1814</t>
  </si>
  <si>
    <t>431124********2126</t>
  </si>
  <si>
    <t>460035********0021</t>
  </si>
  <si>
    <t>460007********4128</t>
  </si>
  <si>
    <t>460030********0343</t>
  </si>
  <si>
    <t>460028********762X</t>
  </si>
  <si>
    <t>460003********2687</t>
  </si>
  <si>
    <t>460033********3244</t>
  </si>
  <si>
    <t>460003********3814</t>
  </si>
  <si>
    <t>460036********3522</t>
  </si>
  <si>
    <t>460028********2447</t>
  </si>
  <si>
    <t>460003********6839</t>
  </si>
  <si>
    <t>460026********0014</t>
  </si>
  <si>
    <t>460027********2629</t>
  </si>
  <si>
    <t>460004********0411</t>
  </si>
  <si>
    <t>460027********2990</t>
  </si>
  <si>
    <t>460030********3327</t>
  </si>
  <si>
    <t>469003********5621</t>
  </si>
  <si>
    <t>460027********4422</t>
  </si>
  <si>
    <t>460002********2812</t>
  </si>
  <si>
    <t>460004********0023</t>
  </si>
  <si>
    <t>460003********0029</t>
  </si>
  <si>
    <t>460036********1228</t>
  </si>
  <si>
    <t>210503********2111</t>
  </si>
  <si>
    <t>460035********0717</t>
  </si>
  <si>
    <t>469026********4423</t>
  </si>
  <si>
    <t>460102********2425</t>
  </si>
  <si>
    <t>460027********0039</t>
  </si>
  <si>
    <t>460007********0036</t>
  </si>
  <si>
    <t>469023********0021</t>
  </si>
  <si>
    <t>460004********5415</t>
  </si>
  <si>
    <t>460003********2815</t>
  </si>
  <si>
    <t>469003********2427</t>
  </si>
  <si>
    <t>460035********0215</t>
  </si>
  <si>
    <t>460025********4827</t>
  </si>
  <si>
    <t>460300********0028</t>
  </si>
  <si>
    <t>460027********4427</t>
  </si>
  <si>
    <t>460003********1417</t>
  </si>
  <si>
    <t>460003********762X</t>
  </si>
  <si>
    <t>460035********3225</t>
  </si>
  <si>
    <t>460003********282X</t>
  </si>
  <si>
    <t>460027********1022</t>
  </si>
  <si>
    <t>460102********0624</t>
  </si>
  <si>
    <t>460022********6820</t>
  </si>
  <si>
    <t>460105********6246</t>
  </si>
  <si>
    <t>460027********262X</t>
  </si>
  <si>
    <t>460005********5112</t>
  </si>
  <si>
    <t>460028********3628</t>
  </si>
  <si>
    <t>460103********1812</t>
  </si>
  <si>
    <t>460003********2496</t>
  </si>
  <si>
    <t>460003********4224</t>
  </si>
  <si>
    <t>460033********2385</t>
  </si>
  <si>
    <t>460003********2014</t>
  </si>
  <si>
    <t>460002********5423</t>
  </si>
  <si>
    <t>460001********1010</t>
  </si>
  <si>
    <t>460003********2634</t>
  </si>
  <si>
    <t>460006********722X</t>
  </si>
  <si>
    <t>460028********0424</t>
  </si>
  <si>
    <t>460028********2826</t>
  </si>
  <si>
    <t>460103********1220</t>
  </si>
  <si>
    <t>460006********2925</t>
  </si>
  <si>
    <t>460027********1323</t>
  </si>
  <si>
    <t>460027********6234</t>
  </si>
  <si>
    <t>532627********234X</t>
  </si>
  <si>
    <t>460001********1022</t>
  </si>
  <si>
    <t>460005********4114</t>
  </si>
  <si>
    <t>460033********0047</t>
  </si>
  <si>
    <t>460002********3635</t>
  </si>
  <si>
    <t>142332********5628</t>
  </si>
  <si>
    <t>220625********2427</t>
  </si>
  <si>
    <t>460004********4423</t>
  </si>
  <si>
    <t>460027********5922</t>
  </si>
  <si>
    <t>460033********717X</t>
  </si>
  <si>
    <t>460004********5283</t>
  </si>
  <si>
    <t>460027********2322</t>
  </si>
  <si>
    <t>460027********2622</t>
  </si>
  <si>
    <t>460103********2112</t>
  </si>
  <si>
    <t>460003********6825</t>
  </si>
  <si>
    <t>460007********4119</t>
  </si>
  <si>
    <t>460004********3426</t>
  </si>
  <si>
    <t>460027********0037</t>
  </si>
  <si>
    <t>460200********2544</t>
  </si>
  <si>
    <t>469023********2920</t>
  </si>
  <si>
    <t>460027********0414</t>
  </si>
  <si>
    <t>232303********442X</t>
  </si>
  <si>
    <t>460007********0017</t>
  </si>
  <si>
    <t>460006********2317</t>
  </si>
  <si>
    <t>460102********1248</t>
  </si>
  <si>
    <t>211224********5221</t>
  </si>
  <si>
    <t>632121********0098</t>
  </si>
  <si>
    <t>460007********042X</t>
  </si>
  <si>
    <t>460002********6613</t>
  </si>
  <si>
    <t>460030********1224</t>
  </si>
  <si>
    <t>460003********0220</t>
  </si>
  <si>
    <t>460003********2443</t>
  </si>
  <si>
    <t>469023********0018</t>
  </si>
  <si>
    <t>460006********0417</t>
  </si>
  <si>
    <t>460021********4462</t>
  </si>
  <si>
    <t>460006********2725</t>
  </si>
  <si>
    <t>460300********0324</t>
  </si>
  <si>
    <t>460027********2016</t>
  </si>
  <si>
    <t>460006********8721</t>
  </si>
  <si>
    <t>460103********3019</t>
  </si>
  <si>
    <t>460102********0912</t>
  </si>
  <si>
    <t>460004********3641</t>
  </si>
  <si>
    <t>460027********8221</t>
  </si>
  <si>
    <t>460105********6823</t>
  </si>
  <si>
    <t>460005********1029</t>
  </si>
  <si>
    <t>460036********2121</t>
  </si>
  <si>
    <t>469026********4010</t>
  </si>
  <si>
    <t>460003********0230</t>
  </si>
  <si>
    <t>460026********0042</t>
  </si>
  <si>
    <t>460027********0648</t>
  </si>
  <si>
    <t>460104********0921</t>
  </si>
  <si>
    <t>460030********1810</t>
  </si>
  <si>
    <t>460027********6244</t>
  </si>
  <si>
    <t>460103********1210</t>
  </si>
  <si>
    <t>460036********0019</t>
  </si>
  <si>
    <t>460102********181X</t>
  </si>
  <si>
    <t>460002********6024</t>
  </si>
  <si>
    <t>460033********4189</t>
  </si>
  <si>
    <t>460104********0320</t>
  </si>
  <si>
    <t>460200********5126</t>
  </si>
  <si>
    <t>460028********5646</t>
  </si>
  <si>
    <t>460002********4629</t>
  </si>
  <si>
    <t>460026********3328</t>
  </si>
  <si>
    <t>460036********0035</t>
  </si>
  <si>
    <t>460027********1329</t>
  </si>
  <si>
    <t>460003********0416</t>
  </si>
  <si>
    <t>460028********0013</t>
  </si>
  <si>
    <t>460027********8218</t>
  </si>
  <si>
    <t>460003********5821</t>
  </si>
  <si>
    <t>460004********5042</t>
  </si>
  <si>
    <t>460200********0030</t>
  </si>
  <si>
    <t>460104********0017</t>
  </si>
  <si>
    <t>460027********4445</t>
  </si>
  <si>
    <t>460003********0215</t>
  </si>
  <si>
    <t>620103********1026</t>
  </si>
  <si>
    <t>460007********6574</t>
  </si>
  <si>
    <t>460004********3423</t>
  </si>
  <si>
    <t>460035********3029</t>
  </si>
  <si>
    <t>460027********2312</t>
  </si>
  <si>
    <t>460027********4119</t>
  </si>
  <si>
    <t>460030********6928</t>
  </si>
  <si>
    <t>411325********1913</t>
  </si>
  <si>
    <t>460003********3242</t>
  </si>
  <si>
    <t>460108********3226</t>
  </si>
  <si>
    <t>460002********3823</t>
  </si>
  <si>
    <t>340826********403X</t>
  </si>
  <si>
    <t>460027********8506</t>
  </si>
  <si>
    <t>460005********0728</t>
  </si>
  <si>
    <t>460027********3422</t>
  </si>
  <si>
    <t>430421********0066</t>
  </si>
  <si>
    <t>460003********0448</t>
  </si>
  <si>
    <t>460032********7662</t>
  </si>
  <si>
    <t>460033********4176</t>
  </si>
  <si>
    <t>460002********1224</t>
  </si>
  <si>
    <t>460027********0418</t>
  </si>
  <si>
    <t>421022********1823</t>
  </si>
  <si>
    <t>460103********1227</t>
  </si>
  <si>
    <t>431124********0361</t>
  </si>
  <si>
    <t>511902********7005</t>
  </si>
  <si>
    <t>460006********0037</t>
  </si>
  <si>
    <t>612525********0163</t>
  </si>
  <si>
    <t>460025********0328</t>
  </si>
  <si>
    <t>460006********2325</t>
  </si>
  <si>
    <t>460003********7696</t>
  </si>
  <si>
    <t>460006********4850</t>
  </si>
  <si>
    <t>460104********0021</t>
  </si>
  <si>
    <t>469002********5621</t>
  </si>
  <si>
    <t>460033********3912</t>
  </si>
  <si>
    <t>460027********5921</t>
  </si>
  <si>
    <t>460027********0015</t>
  </si>
  <si>
    <t>460033********4476</t>
  </si>
  <si>
    <t>460034********0036</t>
  </si>
  <si>
    <t>460003********1423</t>
  </si>
  <si>
    <t>460027********1715</t>
  </si>
  <si>
    <t>460027********0405</t>
  </si>
  <si>
    <t>460002********4626</t>
  </si>
  <si>
    <t>460003********2030</t>
  </si>
  <si>
    <t>460028********6023</t>
  </si>
  <si>
    <t>460103********0023</t>
  </si>
  <si>
    <t>460028********3626</t>
  </si>
  <si>
    <t>152601********0115</t>
  </si>
  <si>
    <t>460027********4123</t>
  </si>
  <si>
    <t>412725********0321</t>
  </si>
  <si>
    <t>362426********8425</t>
  </si>
  <si>
    <t>460026********061X</t>
  </si>
  <si>
    <t>460027********5117</t>
  </si>
  <si>
    <t>460034********0022</t>
  </si>
  <si>
    <t>460027********7623</t>
  </si>
  <si>
    <t>460004********1424</t>
  </si>
  <si>
    <t>411282********5022</t>
  </si>
  <si>
    <t>460002********0529</t>
  </si>
  <si>
    <t>460006********1328</t>
  </si>
  <si>
    <t>460004********1416</t>
  </si>
  <si>
    <t>460004********3823</t>
  </si>
  <si>
    <t>460102********2124</t>
  </si>
  <si>
    <t>460027********0018</t>
  </si>
  <si>
    <t>460102********0929</t>
  </si>
  <si>
    <t>460003********2223</t>
  </si>
  <si>
    <t>460003********4229</t>
  </si>
  <si>
    <t>460027********0619</t>
  </si>
  <si>
    <t>460031********5220</t>
  </si>
  <si>
    <t>460006********5220</t>
  </si>
  <si>
    <t>460005********074X</t>
  </si>
  <si>
    <t>460027********2624</t>
  </si>
  <si>
    <t>460027********0048</t>
  </si>
  <si>
    <t>460003********244X</t>
  </si>
  <si>
    <t>460102********2726</t>
  </si>
  <si>
    <t>460028********0049</t>
  </si>
  <si>
    <t>232303********1329</t>
  </si>
  <si>
    <t>410426********002X</t>
  </si>
  <si>
    <t>362325********1637</t>
  </si>
  <si>
    <t>460103********0019</t>
  </si>
  <si>
    <t>460002********362X</t>
  </si>
  <si>
    <t>460036********0010</t>
  </si>
  <si>
    <t>460031********3625</t>
  </si>
  <si>
    <t>140202********1043</t>
  </si>
  <si>
    <t>469003********6447</t>
  </si>
  <si>
    <t>342224********9027</t>
  </si>
  <si>
    <t>460103********032X</t>
  </si>
  <si>
    <t>469024********7224</t>
  </si>
  <si>
    <t>460200********4444</t>
  </si>
  <si>
    <t>460006********148X</t>
  </si>
  <si>
    <t>460031********002X</t>
  </si>
  <si>
    <t>460003********8522</t>
  </si>
  <si>
    <t>460005********0060</t>
  </si>
  <si>
    <t>460200********1421</t>
  </si>
  <si>
    <t>460033********3588</t>
  </si>
  <si>
    <t>460032********7658</t>
  </si>
  <si>
    <t>460002********3421</t>
  </si>
  <si>
    <t>460006********2914</t>
  </si>
  <si>
    <t>460103********0012</t>
  </si>
  <si>
    <t>460004********1427</t>
  </si>
  <si>
    <t>460004********121X</t>
  </si>
  <si>
    <t>450329********172X</t>
  </si>
  <si>
    <t>460102********272X</t>
  </si>
  <si>
    <t>469023********7612</t>
  </si>
  <si>
    <t>460025********4529</t>
  </si>
  <si>
    <t>469023********1360</t>
  </si>
  <si>
    <t>460007********041X</t>
  </si>
  <si>
    <t>469003********5628</t>
  </si>
  <si>
    <t>460031********6447</t>
  </si>
  <si>
    <t>469023********4423</t>
  </si>
  <si>
    <t>460004********4015</t>
  </si>
  <si>
    <t>460025********1524</t>
  </si>
  <si>
    <t>460027********2928</t>
  </si>
  <si>
    <t>460102********2123</t>
  </si>
  <si>
    <t>460003********1413</t>
  </si>
  <si>
    <t>469024********5625</t>
  </si>
  <si>
    <t>460004********3013</t>
  </si>
  <si>
    <t>460103********272X</t>
  </si>
  <si>
    <t>460200********0535</t>
  </si>
  <si>
    <t>360727********0721</t>
  </si>
  <si>
    <t>460007********7285</t>
  </si>
  <si>
    <t>460200********0541</t>
  </si>
  <si>
    <t>460003********0025</t>
  </si>
  <si>
    <t>460036********2118</t>
  </si>
  <si>
    <t>460027********7645</t>
  </si>
  <si>
    <t>460004********0625</t>
  </si>
  <si>
    <t>460003********7633</t>
  </si>
  <si>
    <t>460003********2027</t>
  </si>
  <si>
    <t>460103********0644</t>
  </si>
  <si>
    <t>460027********7045</t>
  </si>
  <si>
    <t>460034********0428</t>
  </si>
  <si>
    <t>460026********2428</t>
  </si>
  <si>
    <t>469022********2410</t>
  </si>
  <si>
    <t>440882********4489</t>
  </si>
  <si>
    <t>460003********3145</t>
  </si>
  <si>
    <t>460031********6026</t>
  </si>
  <si>
    <t>460003********0629</t>
  </si>
  <si>
    <t>469003********2215</t>
  </si>
  <si>
    <t>460027********4426</t>
  </si>
  <si>
    <t>460104********152X</t>
  </si>
  <si>
    <t>460022********2733</t>
  </si>
  <si>
    <t>460004********0048</t>
  </si>
  <si>
    <t>460001********0726</t>
  </si>
  <si>
    <t>460003********3065</t>
  </si>
  <si>
    <t>469023********0404</t>
  </si>
  <si>
    <t>460027********7620</t>
  </si>
  <si>
    <t>460028********0016</t>
  </si>
  <si>
    <t>460004********4225</t>
  </si>
  <si>
    <t>460006********2727</t>
  </si>
  <si>
    <t>460036********4819</t>
  </si>
  <si>
    <t>460004********0077</t>
  </si>
  <si>
    <t>460003********2617</t>
  </si>
  <si>
    <t>460003********4227</t>
  </si>
  <si>
    <t>460003********7428</t>
  </si>
  <si>
    <t>460027********1318</t>
  </si>
  <si>
    <t>460003********3444</t>
  </si>
  <si>
    <t>460026********4517</t>
  </si>
  <si>
    <t>460003********2263</t>
  </si>
  <si>
    <t>107_澄迈县新时代文明实践服务中心-社会主义新农村建设办公室管理岗</t>
  </si>
  <si>
    <t>460003********5416</t>
  </si>
  <si>
    <t>460103********1858</t>
  </si>
  <si>
    <t>460027********1019</t>
  </si>
  <si>
    <t>460027********0014</t>
  </si>
  <si>
    <t>460027********1341</t>
  </si>
  <si>
    <t>421181********002X</t>
  </si>
  <si>
    <t>460003********3053</t>
  </si>
  <si>
    <t>152722********0624</t>
  </si>
  <si>
    <t>460032********6213</t>
  </si>
  <si>
    <t>460025********4514</t>
  </si>
  <si>
    <t>533527********2021</t>
  </si>
  <si>
    <t>460027********2331</t>
  </si>
  <si>
    <t>460027********6221</t>
  </si>
  <si>
    <t>460025********1227</t>
  </si>
  <si>
    <t>460028********402X</t>
  </si>
  <si>
    <t>460028********6429</t>
  </si>
  <si>
    <t>460102********0619</t>
  </si>
  <si>
    <t>469024********5220</t>
  </si>
  <si>
    <t>460007********5375</t>
  </si>
  <si>
    <t>460027********5671</t>
  </si>
  <si>
    <t>460003********3433</t>
  </si>
  <si>
    <t>460027********003X</t>
  </si>
  <si>
    <t>460006********3119</t>
  </si>
  <si>
    <t>460006********4026</t>
  </si>
  <si>
    <t>460005********2117</t>
  </si>
  <si>
    <t>460103********0327</t>
  </si>
  <si>
    <t>460027********2327</t>
  </si>
  <si>
    <t>460004********2823</t>
  </si>
  <si>
    <t>460025********0325</t>
  </si>
  <si>
    <t>460006********2715</t>
  </si>
  <si>
    <t>460004********1821</t>
  </si>
  <si>
    <t>460027********4729</t>
  </si>
  <si>
    <t>460030********3312</t>
  </si>
  <si>
    <t>460005********6027</t>
  </si>
  <si>
    <t>460007********0429</t>
  </si>
  <si>
    <t>460027********3713</t>
  </si>
  <si>
    <t>460026********0072</t>
  </si>
  <si>
    <t>230203********0215</t>
  </si>
  <si>
    <t>460004********5255</t>
  </si>
  <si>
    <t>460027********102X</t>
  </si>
  <si>
    <t>460102********062X</t>
  </si>
  <si>
    <t>460102********2419</t>
  </si>
  <si>
    <t>460025********272X</t>
  </si>
  <si>
    <t>460004********064X</t>
  </si>
  <si>
    <t>445281********3312</t>
  </si>
  <si>
    <t>460027********4711</t>
  </si>
  <si>
    <t>460003********3229</t>
  </si>
  <si>
    <t>460007********0029</t>
  </si>
  <si>
    <t>460022********1223</t>
  </si>
  <si>
    <t>460027********1334</t>
  </si>
  <si>
    <t>460030********4820</t>
  </si>
  <si>
    <t>460007********7219</t>
  </si>
  <si>
    <t>460028********2810</t>
  </si>
  <si>
    <t>460028********1221</t>
  </si>
  <si>
    <t>460028********3217</t>
  </si>
  <si>
    <t>460027********2616</t>
  </si>
  <si>
    <t>460027********6666</t>
  </si>
  <si>
    <t>460004********0217</t>
  </si>
  <si>
    <t>460103********0619</t>
  </si>
  <si>
    <t>460025********4511</t>
  </si>
  <si>
    <t>460028********6032</t>
  </si>
  <si>
    <t>469007********4963</t>
  </si>
  <si>
    <t>469023********8520</t>
  </si>
  <si>
    <t>210111********1040</t>
  </si>
  <si>
    <t>460102********1521</t>
  </si>
  <si>
    <t>460001********0716</t>
  </si>
  <si>
    <t>460030********1523</t>
  </si>
  <si>
    <t>460004********522X</t>
  </si>
  <si>
    <t>330522********1048</t>
  </si>
  <si>
    <t>460003********2847</t>
  </si>
  <si>
    <t>460200********3145</t>
  </si>
  <si>
    <t>460003********461X</t>
  </si>
  <si>
    <t>460002********6626</t>
  </si>
  <si>
    <t>460003********2446</t>
  </si>
  <si>
    <t>460025********1522</t>
  </si>
  <si>
    <t>460007********4992</t>
  </si>
  <si>
    <t>460006********1621</t>
  </si>
  <si>
    <t>460031********3647</t>
  </si>
  <si>
    <t>460034********0482</t>
  </si>
  <si>
    <t>460006********4011</t>
  </si>
  <si>
    <t>460027********2619</t>
  </si>
  <si>
    <t>460103********2747</t>
  </si>
  <si>
    <t>460027********8544</t>
  </si>
  <si>
    <t>460004********5225</t>
  </si>
  <si>
    <t>433130********0046</t>
  </si>
  <si>
    <t>469003********7324</t>
  </si>
  <si>
    <t>430302********1557</t>
  </si>
  <si>
    <t>460104********1220</t>
  </si>
  <si>
    <t>231004********0913</t>
  </si>
  <si>
    <t>460007********5788</t>
  </si>
  <si>
    <t>460034********0013</t>
  </si>
  <si>
    <t>460005********6023</t>
  </si>
  <si>
    <t>460033********3877</t>
  </si>
  <si>
    <t>460004********3834</t>
  </si>
  <si>
    <t>460027********6215</t>
  </si>
  <si>
    <t>230604********4713</t>
  </si>
  <si>
    <t>460003********743X</t>
  </si>
  <si>
    <t>460028********123X</t>
  </si>
  <si>
    <t>460103********1234</t>
  </si>
  <si>
    <t>460200********4433</t>
  </si>
  <si>
    <t>460025********0024</t>
  </si>
  <si>
    <t>460027********1324</t>
  </si>
  <si>
    <t>460103********1238</t>
  </si>
  <si>
    <t>460004********5035</t>
  </si>
  <si>
    <t>460004********041X</t>
  </si>
  <si>
    <t>460003********2241</t>
  </si>
  <si>
    <t>460027********4412</t>
  </si>
  <si>
    <t>460003********6027</t>
  </si>
  <si>
    <t>460003********1459</t>
  </si>
  <si>
    <t>460027********3712</t>
  </si>
  <si>
    <t>460027********7029</t>
  </si>
  <si>
    <t>460028********002X</t>
  </si>
  <si>
    <t>460003********7612</t>
  </si>
  <si>
    <t>460006********4015</t>
  </si>
  <si>
    <t>431124********7119</t>
  </si>
  <si>
    <t>460028********682X</t>
  </si>
  <si>
    <t>460030********0924</t>
  </si>
  <si>
    <t>460004********0649</t>
  </si>
  <si>
    <t>460003********6014</t>
  </si>
  <si>
    <t>460025********0913</t>
  </si>
  <si>
    <t>460003********2219</t>
  </si>
  <si>
    <t>460006********4040</t>
  </si>
  <si>
    <t>430726********4328</t>
  </si>
  <si>
    <t>460003********2829</t>
  </si>
  <si>
    <t>460028********0046</t>
  </si>
  <si>
    <t>460033********2386</t>
  </si>
  <si>
    <t>460200********1197</t>
  </si>
  <si>
    <t>460004********4643</t>
  </si>
  <si>
    <t>460004********2627</t>
  </si>
  <si>
    <t>460003********5623</t>
  </si>
  <si>
    <t>460027********8530</t>
  </si>
  <si>
    <t>341021********1704</t>
  </si>
  <si>
    <t>460006********6527</t>
  </si>
  <si>
    <t>511622********1049</t>
  </si>
  <si>
    <t>460104********0624</t>
  </si>
  <si>
    <t>460027********7660</t>
  </si>
  <si>
    <t>460300********0610</t>
  </si>
  <si>
    <t>460022********0522</t>
  </si>
  <si>
    <t>460027********1018</t>
  </si>
  <si>
    <t>460027********4717</t>
  </si>
  <si>
    <t>460034********3648</t>
  </si>
  <si>
    <t>460004********4854</t>
  </si>
  <si>
    <t>460102********0337</t>
  </si>
  <si>
    <t>150623********1813</t>
  </si>
  <si>
    <t>440204********3939</t>
  </si>
  <si>
    <t>460031********5642</t>
  </si>
  <si>
    <t>460104********001X</t>
  </si>
  <si>
    <t>460026********1514</t>
  </si>
  <si>
    <t>460027********0017</t>
  </si>
  <si>
    <t>460003********3225</t>
  </si>
  <si>
    <t>460006********4013</t>
  </si>
  <si>
    <t>460033********4499</t>
  </si>
  <si>
    <t>460103********1523</t>
  </si>
  <si>
    <t>460033********2097</t>
  </si>
  <si>
    <t>460027********1314</t>
  </si>
  <si>
    <t>362323********2925</t>
  </si>
  <si>
    <t>460004********2063</t>
  </si>
  <si>
    <t>370982********4369</t>
  </si>
  <si>
    <t>460102********3323</t>
  </si>
  <si>
    <t>460036********1820</t>
  </si>
  <si>
    <t>460003********242X</t>
  </si>
  <si>
    <t>460027********7622</t>
  </si>
  <si>
    <t>460022********0310</t>
  </si>
  <si>
    <t>460033********3220</t>
  </si>
  <si>
    <t>460025********1223</t>
  </si>
  <si>
    <t>460033********478X</t>
  </si>
  <si>
    <t>460022********4110</t>
  </si>
  <si>
    <t>460003********4426</t>
  </si>
  <si>
    <t>460004********6226</t>
  </si>
  <si>
    <t>460027********5927</t>
  </si>
  <si>
    <t>460003********4617</t>
  </si>
  <si>
    <t>460027********0029</t>
  </si>
  <si>
    <t>460027********2980</t>
  </si>
  <si>
    <t>230302********4041</t>
  </si>
  <si>
    <t>520112********0324</t>
  </si>
  <si>
    <t>460027********2324</t>
  </si>
  <si>
    <t>460103********3647</t>
  </si>
  <si>
    <t>460003********4217</t>
  </si>
  <si>
    <t>460006********5229</t>
  </si>
  <si>
    <t>460022********3229</t>
  </si>
  <si>
    <t>469003********6480</t>
  </si>
  <si>
    <t>469024********322X</t>
  </si>
  <si>
    <t>460022********0023</t>
  </si>
  <si>
    <t>460004********0624</t>
  </si>
  <si>
    <t>460004********2453</t>
  </si>
  <si>
    <t>460003********7826</t>
  </si>
  <si>
    <t>460006********4429</t>
  </si>
  <si>
    <t>460003********2430</t>
  </si>
  <si>
    <t>460004********1215</t>
  </si>
  <si>
    <t>469003********6723</t>
  </si>
  <si>
    <t>460003********4234</t>
  </si>
  <si>
    <t>460003********6820</t>
  </si>
  <si>
    <t>460003********4843</t>
  </si>
  <si>
    <t>460003********2845</t>
  </si>
  <si>
    <t>460003********0444</t>
  </si>
  <si>
    <t>460002********4916</t>
  </si>
  <si>
    <t>460027********1724</t>
  </si>
  <si>
    <t>460300********0013</t>
  </si>
  <si>
    <t>460004********2624</t>
  </si>
  <si>
    <t>460103********1246</t>
  </si>
  <si>
    <t>460027********378X</t>
  </si>
  <si>
    <t>460103********3037</t>
  </si>
  <si>
    <t>460004********0881</t>
  </si>
  <si>
    <t>460004********4028</t>
  </si>
  <si>
    <t>460027********763X</t>
  </si>
  <si>
    <t>460006********8158</t>
  </si>
  <si>
    <t>460103********331X</t>
  </si>
  <si>
    <t>460003********6614</t>
  </si>
  <si>
    <t>460028********2470</t>
  </si>
  <si>
    <t>460300********0323</t>
  </si>
  <si>
    <t>460026********2718</t>
  </si>
  <si>
    <t>431127********6723</t>
  </si>
  <si>
    <t>460004********5239</t>
  </si>
  <si>
    <t>460028********0845</t>
  </si>
  <si>
    <t>460003********7638</t>
  </si>
  <si>
    <t>430321********1716</t>
  </si>
  <si>
    <t>460026********0926</t>
  </si>
  <si>
    <t>460027********7629</t>
  </si>
  <si>
    <t>460027********6273</t>
  </si>
  <si>
    <t>460033********3218</t>
  </si>
  <si>
    <t>460003********7229</t>
  </si>
  <si>
    <t>460033********238X</t>
  </si>
  <si>
    <t>460007********0426</t>
  </si>
  <si>
    <t>460033********0032</t>
  </si>
  <si>
    <t>460025********093X</t>
  </si>
  <si>
    <t>460004********162X</t>
  </si>
  <si>
    <t>652827********0021</t>
  </si>
  <si>
    <t>362324********0025</t>
  </si>
  <si>
    <t>460003********0221</t>
  </si>
  <si>
    <t>460003********2038</t>
  </si>
  <si>
    <t>460027********2991</t>
  </si>
  <si>
    <t>460003********7670</t>
  </si>
  <si>
    <t>460102********1221</t>
  </si>
  <si>
    <t>460004********0848</t>
  </si>
  <si>
    <t>460033********068X</t>
  </si>
  <si>
    <t>460028********4026</t>
  </si>
  <si>
    <t>460003********0218</t>
  </si>
  <si>
    <t>460102********1534</t>
  </si>
  <si>
    <t>460005********3020</t>
  </si>
  <si>
    <t>460028********7219</t>
  </si>
  <si>
    <t>460035********1918</t>
  </si>
  <si>
    <t>460003********1621</t>
  </si>
  <si>
    <t>460006********8411</t>
  </si>
  <si>
    <t>460006********4418</t>
  </si>
  <si>
    <t>460003********2429</t>
  </si>
  <si>
    <t>460027********445X</t>
  </si>
  <si>
    <t>362202********4429</t>
  </si>
  <si>
    <t>150102********0726</t>
  </si>
  <si>
    <t>460027********592X</t>
  </si>
  <si>
    <t>460027********0052</t>
  </si>
  <si>
    <t>460004********1469</t>
  </si>
  <si>
    <t>460004********4069</t>
  </si>
  <si>
    <t>460026********0612</t>
  </si>
  <si>
    <t>460004********5229</t>
  </si>
  <si>
    <t>460022********5121</t>
  </si>
  <si>
    <t>460003********1449</t>
  </si>
  <si>
    <t>460027********4110</t>
  </si>
  <si>
    <t>460026********0640</t>
  </si>
  <si>
    <t>460027********0030</t>
  </si>
  <si>
    <t>460027********4126</t>
  </si>
  <si>
    <t>469023********0010</t>
  </si>
  <si>
    <t>220882********0729</t>
  </si>
  <si>
    <t>460027********2628</t>
  </si>
  <si>
    <t>460027********4730</t>
  </si>
  <si>
    <t>230822********6121</t>
  </si>
  <si>
    <t>460028********1625</t>
  </si>
  <si>
    <t>411521********7945</t>
  </si>
  <si>
    <t>460200********1406</t>
  </si>
  <si>
    <t>460027********5324</t>
  </si>
  <si>
    <t>460002********3422</t>
  </si>
  <si>
    <t>460036********4824</t>
  </si>
  <si>
    <t>320381********2124</t>
  </si>
  <si>
    <t>460027********5914</t>
  </si>
  <si>
    <t>460102********0948</t>
  </si>
  <si>
    <t>460005********1523</t>
  </si>
  <si>
    <t>222404********3029</t>
  </si>
  <si>
    <t>460028********2467</t>
  </si>
  <si>
    <t>460027********0027</t>
  </si>
  <si>
    <t>460036********482X</t>
  </si>
  <si>
    <t>460003********3033</t>
  </si>
  <si>
    <t>460031********5717</t>
  </si>
  <si>
    <t>460200********422X</t>
  </si>
  <si>
    <t>460030********0920</t>
  </si>
  <si>
    <t>460103********2739</t>
  </si>
  <si>
    <t>460003********0228</t>
  </si>
  <si>
    <t>460006********0239</t>
  </si>
  <si>
    <t>460004********6444</t>
  </si>
  <si>
    <t>130225********004X</t>
  </si>
  <si>
    <t>469003********1921</t>
  </si>
  <si>
    <t>460022********3248</t>
  </si>
  <si>
    <t>460035********0029</t>
  </si>
  <si>
    <t>460002********3849</t>
  </si>
  <si>
    <t>460103********3023</t>
  </si>
  <si>
    <t>469025********332X</t>
  </si>
  <si>
    <t>460025********1225</t>
  </si>
  <si>
    <t>460036********0420</t>
  </si>
  <si>
    <t>460004********3418</t>
  </si>
  <si>
    <t>460025********0030</t>
  </si>
  <si>
    <t>460036********5511</t>
  </si>
  <si>
    <t>460003********0241</t>
  </si>
  <si>
    <t>460003********0217</t>
  </si>
  <si>
    <t>460025********0018</t>
  </si>
  <si>
    <t>460003********0019</t>
  </si>
  <si>
    <t>460036********0026</t>
  </si>
  <si>
    <t>460007********5362</t>
  </si>
  <si>
    <t>460033********8334</t>
  </si>
  <si>
    <t>612401********2889</t>
  </si>
  <si>
    <t>460004********0840</t>
  </si>
  <si>
    <t>460031********6425</t>
  </si>
  <si>
    <t>460028********0026</t>
  </si>
  <si>
    <t>450924********5140</t>
  </si>
  <si>
    <t>460003********0627</t>
  </si>
  <si>
    <t>469024********6826</t>
  </si>
  <si>
    <t>460103********274X</t>
  </si>
  <si>
    <t>460026********1516</t>
  </si>
  <si>
    <t>460035********0024</t>
  </si>
  <si>
    <t>460027********001X</t>
  </si>
  <si>
    <t>232321********0827</t>
  </si>
  <si>
    <t>460003********2481</t>
  </si>
  <si>
    <t>440803********2919</t>
  </si>
  <si>
    <t>460027********2024</t>
  </si>
  <si>
    <t>469026********5221</t>
  </si>
  <si>
    <t>469027********3223</t>
  </si>
  <si>
    <t>460006********2327</t>
  </si>
  <si>
    <t>460027********3725</t>
  </si>
  <si>
    <t>460103********2415</t>
  </si>
  <si>
    <t>460001********1933</t>
  </si>
  <si>
    <t>460003********624X</t>
  </si>
  <si>
    <t>460028********242X</t>
  </si>
  <si>
    <t>460022********0367</t>
  </si>
  <si>
    <t>460103********1513</t>
  </si>
  <si>
    <t>460032********0836</t>
  </si>
  <si>
    <t>410928********9628</t>
  </si>
  <si>
    <t>460003********4418</t>
  </si>
  <si>
    <t>460006********5226</t>
  </si>
  <si>
    <t>460028********0414</t>
  </si>
  <si>
    <t>220284********262X</t>
  </si>
  <si>
    <t>460026********0027</t>
  </si>
  <si>
    <t>460200********5516</t>
  </si>
  <si>
    <t>460028********2428</t>
  </si>
  <si>
    <t>460003********2273</t>
  </si>
  <si>
    <t>460027********7024</t>
  </si>
  <si>
    <t>460027********6213</t>
  </si>
  <si>
    <t>460003********0034</t>
  </si>
  <si>
    <t>460001********1027</t>
  </si>
  <si>
    <t>460004********3022</t>
  </si>
  <si>
    <t>460033********4837</t>
  </si>
  <si>
    <t>420323********0849</t>
  </si>
  <si>
    <t>460103********2749</t>
  </si>
  <si>
    <t>460003********3320</t>
  </si>
  <si>
    <t>622101********0426</t>
  </si>
  <si>
    <t>460007********0010</t>
  </si>
  <si>
    <t>460102********1825</t>
  </si>
  <si>
    <t>211022********0038</t>
  </si>
  <si>
    <t>412829********0041</t>
  </si>
  <si>
    <t>460027********762X</t>
  </si>
  <si>
    <t>460003********0424</t>
  </si>
  <si>
    <t>460028********7228</t>
  </si>
  <si>
    <t>460033********3237</t>
  </si>
  <si>
    <t>460027********006X</t>
  </si>
  <si>
    <t>460003********5421</t>
  </si>
  <si>
    <t>411521********6018</t>
  </si>
  <si>
    <t>460103********3316</t>
  </si>
  <si>
    <t>460103********1818</t>
  </si>
  <si>
    <t>460004********6425</t>
  </si>
  <si>
    <t>460026********2429</t>
  </si>
  <si>
    <t>460007********0425</t>
  </si>
  <si>
    <t>460103********3314</t>
  </si>
  <si>
    <t>522631********0046</t>
  </si>
  <si>
    <t>460036********5546</t>
  </si>
  <si>
    <t>469029********0924</t>
  </si>
  <si>
    <t>460006********3123</t>
  </si>
  <si>
    <t>460027********4413</t>
  </si>
  <si>
    <t>460004********0213</t>
  </si>
  <si>
    <t>460021********4421</t>
  </si>
  <si>
    <t>460034********5837</t>
  </si>
  <si>
    <t>460022********2725</t>
  </si>
  <si>
    <t>460004********6423</t>
  </si>
  <si>
    <t>460027********2329</t>
  </si>
  <si>
    <t>460033********3875</t>
  </si>
  <si>
    <t>460003********3821</t>
  </si>
  <si>
    <t>460003********5427</t>
  </si>
  <si>
    <t>460033********3873</t>
  </si>
  <si>
    <t>460027********0020</t>
  </si>
  <si>
    <t>460003********2641</t>
  </si>
  <si>
    <t>441882********0641</t>
  </si>
  <si>
    <t>460006********2315</t>
  </si>
  <si>
    <t>460031********6027</t>
  </si>
  <si>
    <t>142729********0040</t>
  </si>
  <si>
    <t>460104********0944</t>
  </si>
  <si>
    <t>460030********3323</t>
  </si>
  <si>
    <t>460007********0815</t>
  </si>
  <si>
    <t>460004********1426</t>
  </si>
  <si>
    <t>460027********6218</t>
  </si>
  <si>
    <t>460004********2025</t>
  </si>
  <si>
    <t>460027********2944</t>
  </si>
  <si>
    <t>460003********6620</t>
  </si>
  <si>
    <t>460027********0653</t>
  </si>
  <si>
    <t>412725********6990</t>
  </si>
  <si>
    <t>460027********7914</t>
  </si>
  <si>
    <t>460007********5796</t>
  </si>
  <si>
    <t>460002********4149</t>
  </si>
  <si>
    <t>469027********5383</t>
  </si>
  <si>
    <t>412721********2628</t>
  </si>
  <si>
    <t>460034********1219</t>
  </si>
  <si>
    <t>460105********7526</t>
  </si>
  <si>
    <t>460026********0923</t>
  </si>
  <si>
    <t>460007********0427</t>
  </si>
  <si>
    <t>469003********6728</t>
  </si>
  <si>
    <t>460027********6037</t>
  </si>
  <si>
    <t>460022********2312</t>
  </si>
  <si>
    <t>460102********0312</t>
  </si>
  <si>
    <t>460003********142X</t>
  </si>
  <si>
    <t>460007********2077</t>
  </si>
  <si>
    <t>469024********3213</t>
  </si>
  <si>
    <t>460104********0629</t>
  </si>
  <si>
    <t>460004********4044</t>
  </si>
  <si>
    <t>460102********092X</t>
  </si>
  <si>
    <t>460036********0824</t>
  </si>
  <si>
    <t>460036********3514</t>
  </si>
  <si>
    <t>460027********0033</t>
  </si>
  <si>
    <t>460006********0611</t>
  </si>
  <si>
    <t>412828********3946</t>
  </si>
  <si>
    <t>460027********4724</t>
  </si>
  <si>
    <t>469025********4521</t>
  </si>
  <si>
    <t>460027********0441</t>
  </si>
  <si>
    <t>460200********027X</t>
  </si>
  <si>
    <t>445222********3332</t>
  </si>
  <si>
    <t>460004********5610</t>
  </si>
  <si>
    <t>460007********2028</t>
  </si>
  <si>
    <t>150202********1218</t>
  </si>
  <si>
    <t>460004********3222</t>
  </si>
  <si>
    <t>460022********3919</t>
  </si>
  <si>
    <t>460025********0914</t>
  </si>
  <si>
    <t>460006********8730</t>
  </si>
  <si>
    <t>460033********4481</t>
  </si>
  <si>
    <t>460033********4471</t>
  </si>
  <si>
    <t>460007********722X</t>
  </si>
  <si>
    <t>460007********0842</t>
  </si>
  <si>
    <t>610402********0307</t>
  </si>
  <si>
    <t>142222********0013</t>
  </si>
  <si>
    <t>460004********0229</t>
  </si>
  <si>
    <t>530323********1122</t>
  </si>
  <si>
    <t>460300********0329</t>
  </si>
  <si>
    <t>460300********0011</t>
  </si>
  <si>
    <t>460003********2629</t>
  </si>
  <si>
    <t>460027********6212</t>
  </si>
  <si>
    <t>431025********1623</t>
  </si>
  <si>
    <t>460026********1823</t>
  </si>
  <si>
    <t>500381********1622</t>
  </si>
  <si>
    <t>460004********204X</t>
  </si>
  <si>
    <t>460004********5033</t>
  </si>
  <si>
    <t>341022********1518</t>
  </si>
  <si>
    <t>460004********5819</t>
  </si>
  <si>
    <t>460027********2025</t>
  </si>
  <si>
    <t>460033********4851</t>
  </si>
  <si>
    <t>460200********5537</t>
  </si>
  <si>
    <t>460028********3621</t>
  </si>
  <si>
    <t>460031********1620</t>
  </si>
  <si>
    <t>460036********2127</t>
  </si>
  <si>
    <t>500233********5814</t>
  </si>
  <si>
    <t>460036********1215</t>
  </si>
  <si>
    <t>460006********5247</t>
  </si>
  <si>
    <t>460007********5806</t>
  </si>
  <si>
    <t>469003********0626</t>
  </si>
  <si>
    <t>460027********420X</t>
  </si>
  <si>
    <t>332502********6979</t>
  </si>
  <si>
    <t>362203********3525</t>
  </si>
  <si>
    <t>460004********0220</t>
  </si>
  <si>
    <t>460006********4661</t>
  </si>
  <si>
    <t>460036********0810</t>
  </si>
  <si>
    <t>460002********4110</t>
  </si>
  <si>
    <t>469023********0639</t>
  </si>
  <si>
    <t>460006********2723</t>
  </si>
  <si>
    <t>152102********0016</t>
  </si>
  <si>
    <t>460007********0843</t>
  </si>
  <si>
    <t>810000********0079</t>
  </si>
  <si>
    <t>460006********1635</t>
  </si>
  <si>
    <t>460031********5630</t>
  </si>
  <si>
    <t>460026********0620</t>
  </si>
  <si>
    <t>460004********1418</t>
  </si>
  <si>
    <t>460027********5948</t>
  </si>
  <si>
    <t>460102********2715</t>
  </si>
  <si>
    <t>460006********6822</t>
  </si>
  <si>
    <t>460026********2127</t>
  </si>
  <si>
    <t>460006********0910</t>
  </si>
  <si>
    <t>460026********0019</t>
  </si>
  <si>
    <t>460006********8716</t>
  </si>
  <si>
    <t>460028********0024</t>
  </si>
  <si>
    <t>460300********0022</t>
  </si>
  <si>
    <t>460033********388X</t>
  </si>
  <si>
    <t>533123********0027</t>
  </si>
  <si>
    <t>460028********204X</t>
  </si>
  <si>
    <t>460027********5911</t>
  </si>
  <si>
    <t>460022********1222</t>
  </si>
  <si>
    <t>460004********3643</t>
  </si>
  <si>
    <t>460031********5228</t>
  </si>
  <si>
    <t>460003********7618</t>
  </si>
  <si>
    <t>460002********2211</t>
  </si>
  <si>
    <t>460004********5425</t>
  </si>
  <si>
    <t>460002********2513</t>
  </si>
  <si>
    <t>460027********0023</t>
  </si>
  <si>
    <t>460028********001X</t>
  </si>
  <si>
    <t>460003********5878</t>
  </si>
  <si>
    <t>460027********1311</t>
  </si>
  <si>
    <t>460103********3045</t>
  </si>
  <si>
    <t>460200********0012</t>
  </si>
  <si>
    <t>460036********4838</t>
  </si>
  <si>
    <t>460028********0018</t>
  </si>
  <si>
    <t>460003********3036</t>
  </si>
  <si>
    <t>469023********0023</t>
  </si>
  <si>
    <t>460004********3016</t>
  </si>
  <si>
    <t>460004********3425</t>
  </si>
  <si>
    <t>460002********0525</t>
  </si>
  <si>
    <t>460028********1227</t>
  </si>
  <si>
    <t>460104********1520</t>
  </si>
  <si>
    <t>460003********0430</t>
  </si>
  <si>
    <t>460026********0318</t>
  </si>
  <si>
    <t>410728********9787</t>
  </si>
  <si>
    <t>460006********0038</t>
  </si>
  <si>
    <t>460004********0216</t>
  </si>
  <si>
    <t>140302********0824</t>
  </si>
  <si>
    <t>460033********0017</t>
  </si>
  <si>
    <t>460025********0033</t>
  </si>
  <si>
    <t>460003********446X</t>
  </si>
  <si>
    <t>460104********0927</t>
  </si>
  <si>
    <t>469003********7022</t>
  </si>
  <si>
    <t>460033********5075</t>
  </si>
  <si>
    <t>460031********1211</t>
  </si>
  <si>
    <t>469003********6128</t>
  </si>
  <si>
    <t>460033********002X</t>
  </si>
  <si>
    <t>510802********172X</t>
  </si>
  <si>
    <t>460025********1231</t>
  </si>
  <si>
    <t>452128********2527</t>
  </si>
  <si>
    <t>460027********4720</t>
  </si>
  <si>
    <t>460027********4423</t>
  </si>
  <si>
    <t>460004********0024</t>
  </si>
  <si>
    <t>460033********3879</t>
  </si>
  <si>
    <t>460103********181X</t>
  </si>
  <si>
    <t>460200********4029</t>
  </si>
  <si>
    <t>460022********1921</t>
  </si>
  <si>
    <t>460002********5220</t>
  </si>
  <si>
    <t>460004********0080</t>
  </si>
  <si>
    <t>460003********3220</t>
  </si>
  <si>
    <t>460027********061X</t>
  </si>
  <si>
    <t>460004********006X</t>
  </si>
  <si>
    <t>460102********2118</t>
  </si>
  <si>
    <t>440684********0426</t>
  </si>
  <si>
    <t>460026********0325</t>
  </si>
  <si>
    <t>460102********0926</t>
  </si>
  <si>
    <t>412728********3440</t>
  </si>
  <si>
    <t>460002********4613</t>
  </si>
  <si>
    <t>460104********0922</t>
  </si>
  <si>
    <t>460006********0624</t>
  </si>
  <si>
    <t>460025********2712</t>
  </si>
  <si>
    <t>460002********2526</t>
  </si>
  <si>
    <t>469023********0011</t>
  </si>
  <si>
    <t>460028********2438</t>
  </si>
  <si>
    <t>460003********0211</t>
  </si>
  <si>
    <t>460003********7410</t>
  </si>
  <si>
    <t>460036********0015</t>
  </si>
  <si>
    <t>460006********7522</t>
  </si>
  <si>
    <t>460003********7027</t>
  </si>
  <si>
    <t>460103********3025</t>
  </si>
  <si>
    <t>460033********3213</t>
  </si>
  <si>
    <t>460004********3444</t>
  </si>
  <si>
    <t>460026********3325</t>
  </si>
  <si>
    <t>460006********166X</t>
  </si>
  <si>
    <t>460027********2939</t>
  </si>
  <si>
    <t>460027********2029</t>
  </si>
  <si>
    <t>460102********0914</t>
  </si>
  <si>
    <t>460027********0011</t>
  </si>
  <si>
    <t>460006********2918</t>
  </si>
  <si>
    <t>460004********0854</t>
  </si>
  <si>
    <t>460005********3022</t>
  </si>
  <si>
    <t>460036********7210</t>
  </si>
  <si>
    <t>460034********0721</t>
  </si>
  <si>
    <t>460027********2945</t>
  </si>
  <si>
    <t>460034********552X</t>
  </si>
  <si>
    <t>460027********661X</t>
  </si>
  <si>
    <t>211021********0029</t>
  </si>
  <si>
    <t>413001********4026</t>
  </si>
  <si>
    <t>220122********5056</t>
  </si>
  <si>
    <t>460027********0426</t>
  </si>
  <si>
    <t>460025********0013</t>
  </si>
  <si>
    <t>460002********2518</t>
  </si>
  <si>
    <t>460028********1229</t>
  </si>
  <si>
    <t>460027********1730</t>
  </si>
  <si>
    <t>460003********0413</t>
  </si>
  <si>
    <t>460027********4136</t>
  </si>
  <si>
    <t>469024********0023</t>
  </si>
  <si>
    <t>460003********3446</t>
  </si>
  <si>
    <t>460035********0010</t>
  </si>
  <si>
    <t>460033********4566</t>
  </si>
  <si>
    <t>460026********002X</t>
  </si>
  <si>
    <t>150421********0062</t>
  </si>
  <si>
    <t>460003********4411</t>
  </si>
  <si>
    <t>460027********2922</t>
  </si>
  <si>
    <t>469003********5612</t>
  </si>
  <si>
    <t>372330********4661</t>
  </si>
  <si>
    <t>460003********4196</t>
  </si>
  <si>
    <t>460022********0017</t>
  </si>
  <si>
    <t>460003********4837</t>
  </si>
  <si>
    <t>460027********6226</t>
  </si>
  <si>
    <t>460025********0026</t>
  </si>
  <si>
    <t>460003********6026</t>
  </si>
  <si>
    <t>460300********0625</t>
  </si>
  <si>
    <t>211403********8219</t>
  </si>
  <si>
    <t>460007********8776</t>
  </si>
  <si>
    <t>440823********0853</t>
  </si>
  <si>
    <t>460026********2122</t>
  </si>
  <si>
    <t>460004********3417</t>
  </si>
  <si>
    <t>460007********0818</t>
  </si>
  <si>
    <t>460026********2448</t>
  </si>
  <si>
    <t>460027********4415</t>
  </si>
  <si>
    <t>460025********2710</t>
  </si>
  <si>
    <t>612726********1211</t>
  </si>
  <si>
    <t>429006********1259</t>
  </si>
  <si>
    <t>460200********4481</t>
  </si>
  <si>
    <t>460028********1622</t>
  </si>
  <si>
    <t>460027********853X</t>
  </si>
  <si>
    <t>460002********5618</t>
  </si>
  <si>
    <t>460027********7013</t>
  </si>
  <si>
    <t>445323********2768</t>
  </si>
  <si>
    <t>460026********0021</t>
  </si>
  <si>
    <t>460027********8210</t>
  </si>
  <si>
    <t>460003********7458</t>
  </si>
  <si>
    <t>460027********5634</t>
  </si>
  <si>
    <t>469025********0329</t>
  </si>
  <si>
    <t>460004********0847</t>
  </si>
  <si>
    <t>460003********2461</t>
  </si>
  <si>
    <t>460003********5817</t>
  </si>
  <si>
    <t>460003********5425</t>
  </si>
  <si>
    <t>460031********0011</t>
  </si>
  <si>
    <t>460033********0022</t>
  </si>
  <si>
    <t>232301********0228</t>
  </si>
  <si>
    <t>460027********2021</t>
  </si>
  <si>
    <t>469023********1327</t>
  </si>
  <si>
    <t>460003********7623</t>
  </si>
  <si>
    <t>460027********232X</t>
  </si>
  <si>
    <t>460003********2010</t>
  </si>
  <si>
    <t>460028********006X</t>
  </si>
  <si>
    <t>460003********1824</t>
  </si>
  <si>
    <t>460007********0046</t>
  </si>
  <si>
    <t>460027********0423</t>
  </si>
  <si>
    <t>469024********2042</t>
  </si>
  <si>
    <t>460028********7223</t>
  </si>
  <si>
    <t>460027********5913</t>
  </si>
  <si>
    <t>460004********0823</t>
  </si>
  <si>
    <t>460003********2242</t>
  </si>
  <si>
    <t>460028********0822</t>
  </si>
  <si>
    <t>460006********4428</t>
  </si>
  <si>
    <t>460036********2128</t>
  </si>
  <si>
    <t>460007********8767</t>
  </si>
  <si>
    <t>410603********0021</t>
  </si>
  <si>
    <t>460028********0054</t>
  </si>
  <si>
    <t>460006********5624</t>
  </si>
  <si>
    <t>460002********0063</t>
  </si>
  <si>
    <t>460033********3246</t>
  </si>
  <si>
    <t>460034********041X</t>
  </si>
  <si>
    <t>460031********5225</t>
  </si>
  <si>
    <t>460022********5122</t>
  </si>
  <si>
    <t>460200********5523</t>
  </si>
  <si>
    <t>460003********2222</t>
  </si>
  <si>
    <t>460007********4965</t>
  </si>
  <si>
    <t>460003********2412</t>
  </si>
  <si>
    <t>460026********2723</t>
  </si>
  <si>
    <t>469003********1218</t>
  </si>
  <si>
    <t>460026********0059</t>
  </si>
  <si>
    <t>460027********8239</t>
  </si>
  <si>
    <t>460003********2067</t>
  </si>
  <si>
    <t>460027********5962</t>
  </si>
  <si>
    <t>460102********1824</t>
  </si>
  <si>
    <t>460003********5841</t>
  </si>
  <si>
    <t>460200********0047</t>
  </si>
  <si>
    <t>460102********2722</t>
  </si>
  <si>
    <t>460028********2828</t>
  </si>
  <si>
    <t>460003********1811</t>
  </si>
  <si>
    <t>469003********5025</t>
  </si>
  <si>
    <t>320586********8445</t>
  </si>
  <si>
    <t>460028********0017</t>
  </si>
  <si>
    <t>460004********002X</t>
  </si>
  <si>
    <t>222401********0318</t>
  </si>
  <si>
    <t>460006********4825</t>
  </si>
  <si>
    <t>460028********5224</t>
  </si>
  <si>
    <t>460003********7644</t>
  </si>
  <si>
    <t>231182********4920</t>
  </si>
  <si>
    <t>460027********0623</t>
  </si>
  <si>
    <t>460003********3416</t>
  </si>
  <si>
    <t>460028********2821</t>
  </si>
  <si>
    <t>460030********0320</t>
  </si>
  <si>
    <t>440881********5821</t>
  </si>
  <si>
    <t>460004********2222</t>
  </si>
  <si>
    <t>460004********0832</t>
  </si>
  <si>
    <t>460030********0029</t>
  </si>
  <si>
    <t>460003********0622</t>
  </si>
  <si>
    <t>612430********1314</t>
  </si>
  <si>
    <t>460006********5219</t>
  </si>
  <si>
    <t>460028********2426</t>
  </si>
  <si>
    <t>460035********2328</t>
  </si>
  <si>
    <t>460025********0313</t>
  </si>
  <si>
    <t>460004********2229</t>
  </si>
  <si>
    <t>460003********4291</t>
  </si>
  <si>
    <t>460102********0318</t>
  </si>
  <si>
    <t>460033********3230</t>
  </si>
  <si>
    <t>460033********486X</t>
  </si>
  <si>
    <t>469023********0043</t>
  </si>
  <si>
    <t>431021********352X</t>
  </si>
  <si>
    <t>460003********344X</t>
  </si>
  <si>
    <t>460003********6710</t>
  </si>
  <si>
    <t>460033********1786</t>
  </si>
  <si>
    <t>460004********2028</t>
  </si>
  <si>
    <t>460102********0614</t>
  </si>
  <si>
    <t>460026********331X</t>
  </si>
  <si>
    <t>460033********6274</t>
  </si>
  <si>
    <t>460003********444X</t>
  </si>
  <si>
    <t>460003********3023</t>
  </si>
  <si>
    <t>460006********8423</t>
  </si>
  <si>
    <t>460107********2624</t>
  </si>
  <si>
    <t>460004********4824</t>
  </si>
  <si>
    <t>460004********1820</t>
  </si>
  <si>
    <t>460004********2016</t>
  </si>
  <si>
    <t>522121********0818</t>
  </si>
  <si>
    <t>460007********8260</t>
  </si>
  <si>
    <t>469003********0316</t>
  </si>
  <si>
    <t>460026********0629</t>
  </si>
  <si>
    <t>460006********1685</t>
  </si>
  <si>
    <t>460027********1011</t>
  </si>
  <si>
    <t>460003********2559</t>
  </si>
  <si>
    <t>460002********4131</t>
  </si>
  <si>
    <t>460004********5010</t>
  </si>
  <si>
    <t>460027********3416</t>
  </si>
  <si>
    <t>460006********4439</t>
  </si>
  <si>
    <t>460027********4182</t>
  </si>
  <si>
    <t>460006********1643</t>
  </si>
  <si>
    <t>469023********0053</t>
  </si>
  <si>
    <t>460034********0422</t>
  </si>
  <si>
    <t>460028********0429</t>
  </si>
  <si>
    <t>460025********0619</t>
  </si>
  <si>
    <t>469024********3219</t>
  </si>
  <si>
    <t>460027********4132</t>
  </si>
  <si>
    <t>460022********482X</t>
  </si>
  <si>
    <t>469024********6033</t>
  </si>
  <si>
    <t>460003********4623</t>
  </si>
  <si>
    <t>469001********034X</t>
  </si>
  <si>
    <t>460027********0031</t>
  </si>
  <si>
    <t>460006********0424</t>
  </si>
  <si>
    <t>421222********122X</t>
  </si>
  <si>
    <t>469003********592X</t>
  </si>
  <si>
    <t>460031********0013</t>
  </si>
  <si>
    <t>460028********6029</t>
  </si>
  <si>
    <t>460002********6429</t>
  </si>
  <si>
    <t>460027********1024</t>
  </si>
  <si>
    <t>460027********0629</t>
  </si>
  <si>
    <t>460007********0021</t>
  </si>
  <si>
    <t>411329********2773</t>
  </si>
  <si>
    <t>460200********0015</t>
  </si>
  <si>
    <t>460004********5012</t>
  </si>
  <si>
    <t>360681********1040</t>
  </si>
  <si>
    <t>469003********5029</t>
  </si>
  <si>
    <t>460007********0022</t>
  </si>
  <si>
    <t>460006********0015</t>
  </si>
  <si>
    <t>460002********2232</t>
  </si>
  <si>
    <t>460003********6638</t>
  </si>
  <si>
    <t>460028********2019</t>
  </si>
  <si>
    <t>411524********2030</t>
  </si>
  <si>
    <t>460004********4040</t>
  </si>
  <si>
    <t>460001********0767</t>
  </si>
  <si>
    <t>460026********181X</t>
  </si>
  <si>
    <t>460003********6617</t>
  </si>
  <si>
    <t>460004********0036</t>
  </si>
  <si>
    <t>460007********4370</t>
  </si>
  <si>
    <t>460004********3650</t>
  </si>
  <si>
    <t>469024********0830</t>
  </si>
  <si>
    <t>460028********282X</t>
  </si>
  <si>
    <t>460028********4035</t>
  </si>
  <si>
    <t>460003********6625</t>
  </si>
  <si>
    <t>452226********3022</t>
  </si>
  <si>
    <t>460004********1228</t>
  </si>
  <si>
    <t>469024********3226</t>
  </si>
  <si>
    <t>469030********0066</t>
  </si>
  <si>
    <t>460025********2120</t>
  </si>
  <si>
    <t>460027********0016</t>
  </si>
  <si>
    <t>460026********0036</t>
  </si>
  <si>
    <t>460025********2412</t>
  </si>
  <si>
    <t>460003********0064</t>
  </si>
  <si>
    <t>460104********0028</t>
  </si>
  <si>
    <t>469021********0022</t>
  </si>
  <si>
    <t>460007********7245</t>
  </si>
  <si>
    <t>460003********2464</t>
  </si>
  <si>
    <t>460006********161X</t>
  </si>
  <si>
    <t>140622********2913</t>
  </si>
  <si>
    <t>460003********7629</t>
  </si>
  <si>
    <t>460003********6709</t>
  </si>
  <si>
    <t>460103********1831</t>
  </si>
  <si>
    <t>460004********4816</t>
  </si>
  <si>
    <t>460030********2428</t>
  </si>
  <si>
    <t>460028********0103</t>
  </si>
  <si>
    <t>460027********0012</t>
  </si>
  <si>
    <t>460026********0025</t>
  </si>
  <si>
    <t>460200********5342</t>
  </si>
  <si>
    <t>460003********2418</t>
  </si>
  <si>
    <t>460003********6846</t>
  </si>
  <si>
    <t>460003********2016</t>
  </si>
  <si>
    <t>460003********584X</t>
  </si>
  <si>
    <t>132825********0020</t>
  </si>
  <si>
    <t>460004********0035</t>
  </si>
  <si>
    <t>460001********032X</t>
  </si>
  <si>
    <t>460007********7261</t>
  </si>
  <si>
    <t>460004********442X</t>
  </si>
  <si>
    <t>469025********1822</t>
  </si>
  <si>
    <t>460006********812X</t>
  </si>
  <si>
    <t>460026********0364</t>
  </si>
  <si>
    <t>460026********0015</t>
  </si>
  <si>
    <t>460104********1823</t>
  </si>
  <si>
    <t>460026********1231</t>
  </si>
  <si>
    <t>460004********222X</t>
  </si>
  <si>
    <t>460006********4089</t>
  </si>
  <si>
    <t>411221********0027</t>
  </si>
  <si>
    <t>500382********9246</t>
  </si>
  <si>
    <t>460032********439X</t>
  </si>
  <si>
    <t>460005********5617</t>
  </si>
  <si>
    <t>460002********1828</t>
  </si>
  <si>
    <t>460003********3056</t>
  </si>
  <si>
    <t>460027********4421</t>
  </si>
  <si>
    <t>460104********1829</t>
  </si>
  <si>
    <t>460026********4525</t>
  </si>
  <si>
    <t>460026********3948</t>
  </si>
  <si>
    <t>460004********1221</t>
  </si>
  <si>
    <t>460027********6624</t>
  </si>
  <si>
    <t>460003********2224</t>
  </si>
  <si>
    <t>460027********1330</t>
  </si>
  <si>
    <t>460103********1229</t>
  </si>
  <si>
    <t>469007********8523</t>
  </si>
  <si>
    <t>460033********0016</t>
  </si>
  <si>
    <t>460028********4414</t>
  </si>
  <si>
    <t>460027********6217</t>
  </si>
  <si>
    <t>460102********1210</t>
  </si>
  <si>
    <t>460002********034X</t>
  </si>
  <si>
    <t>469003********3023</t>
  </si>
  <si>
    <t>460004********0628</t>
  </si>
  <si>
    <t>460004********4050</t>
  </si>
  <si>
    <t>341226********6734</t>
  </si>
  <si>
    <t>460033********3225</t>
  </si>
  <si>
    <t>460005********4136</t>
  </si>
  <si>
    <t>460028********5611</t>
  </si>
  <si>
    <t>460027********0408</t>
  </si>
  <si>
    <t>460103********124X</t>
  </si>
  <si>
    <t>460104********0932</t>
  </si>
  <si>
    <t>460003********7681</t>
  </si>
  <si>
    <t>460028********0412</t>
  </si>
  <si>
    <t>421083********1233</t>
  </si>
  <si>
    <t>460003********3087</t>
  </si>
  <si>
    <t>460004********4825</t>
  </si>
  <si>
    <t>460031********4820</t>
  </si>
  <si>
    <t>460004********5026</t>
  </si>
  <si>
    <t>460300********0020</t>
  </si>
  <si>
    <t>460006********8711</t>
  </si>
  <si>
    <t>411526********4271</t>
  </si>
  <si>
    <t>460104********032X</t>
  </si>
  <si>
    <t>650106********3010</t>
  </si>
  <si>
    <t>460003********481X</t>
  </si>
  <si>
    <t>460031********6412</t>
  </si>
  <si>
    <t>460003********3074</t>
  </si>
  <si>
    <t>460200********4697</t>
  </si>
  <si>
    <t>500384********4244</t>
  </si>
  <si>
    <t>460034********0015</t>
  </si>
  <si>
    <t>460027********8554</t>
  </si>
  <si>
    <t>460006********3125</t>
  </si>
  <si>
    <t>460027********1722</t>
  </si>
  <si>
    <t>460103********2727</t>
  </si>
  <si>
    <t>460003********4869</t>
  </si>
  <si>
    <t>370828********066X</t>
  </si>
  <si>
    <t>460031********4447</t>
  </si>
  <si>
    <t>460028********1225</t>
  </si>
  <si>
    <t>460104********0925</t>
  </si>
  <si>
    <t>230105********3721</t>
  </si>
  <si>
    <t>460103********3636</t>
  </si>
  <si>
    <t>460031********3629</t>
  </si>
  <si>
    <t>460006********233X</t>
  </si>
  <si>
    <t>410822********151X</t>
  </si>
  <si>
    <t>460003********2065</t>
  </si>
  <si>
    <t>460004********5227</t>
  </si>
  <si>
    <t>460033********321X</t>
  </si>
  <si>
    <t>460026********2711</t>
  </si>
  <si>
    <t>360729********1528</t>
  </si>
  <si>
    <t>460027********1328</t>
  </si>
  <si>
    <t>460004********4041</t>
  </si>
  <si>
    <t>460027********062X</t>
  </si>
  <si>
    <t>532801********3222</t>
  </si>
  <si>
    <t>430724********6232</t>
  </si>
  <si>
    <t>460004********0412</t>
  </si>
  <si>
    <t>460003********4662</t>
  </si>
  <si>
    <t>460005********5624</t>
  </si>
  <si>
    <t>460026********4210</t>
  </si>
  <si>
    <t>460102********1818</t>
  </si>
  <si>
    <t>460003********1861</t>
  </si>
  <si>
    <t>460103********302X</t>
  </si>
  <si>
    <t>460030********3026</t>
  </si>
  <si>
    <t>460007********7241</t>
  </si>
  <si>
    <t>460004********2225</t>
  </si>
  <si>
    <t>460003********3014</t>
  </si>
  <si>
    <t>460003********2610</t>
  </si>
  <si>
    <t>460003********3441</t>
  </si>
  <si>
    <t>469007********7628</t>
  </si>
  <si>
    <t>460027********0417</t>
  </si>
  <si>
    <t>460031********5261</t>
  </si>
  <si>
    <t>460003********4223</t>
  </si>
  <si>
    <t>460027********4127</t>
  </si>
  <si>
    <t>460007********5072</t>
  </si>
  <si>
    <t>230302********5023</t>
  </si>
  <si>
    <t>460025********2127</t>
  </si>
  <si>
    <t>460033********4817</t>
  </si>
  <si>
    <t>130184********3044</t>
  </si>
  <si>
    <t>460032********7682</t>
  </si>
  <si>
    <t>362330********6286</t>
  </si>
  <si>
    <t>460027********8590</t>
  </si>
  <si>
    <t>412326********0987</t>
  </si>
  <si>
    <t>460035********1131</t>
  </si>
  <si>
    <t>460027********7913</t>
  </si>
  <si>
    <t>460004********0054</t>
  </si>
  <si>
    <t>411330********0012</t>
  </si>
  <si>
    <t>460006********6216</t>
  </si>
  <si>
    <t>460007********7624</t>
  </si>
  <si>
    <t>460028********0028</t>
  </si>
  <si>
    <t>460027********2625</t>
  </si>
  <si>
    <t>460003********2424</t>
  </si>
  <si>
    <t>469023********0629</t>
  </si>
  <si>
    <t>460003********5830</t>
  </si>
  <si>
    <t>460026********036X</t>
  </si>
  <si>
    <t>460026********2419</t>
  </si>
  <si>
    <t>460004********5825</t>
  </si>
  <si>
    <t>460004********5214</t>
  </si>
  <si>
    <t>460005********5110</t>
  </si>
  <si>
    <t>460027********5924</t>
  </si>
  <si>
    <t>460027********624X</t>
  </si>
  <si>
    <t>460103********1840</t>
  </si>
  <si>
    <t>460031********0824</t>
  </si>
  <si>
    <t>460004********2420</t>
  </si>
  <si>
    <t>460003********4653</t>
  </si>
  <si>
    <t>460004********5219</t>
  </si>
  <si>
    <t>460007********436X</t>
  </si>
  <si>
    <t>362202********507X</t>
  </si>
  <si>
    <t>500101********3137</t>
  </si>
  <si>
    <t>460005********4127</t>
  </si>
  <si>
    <t>460102********1544</t>
  </si>
  <si>
    <t>460027********7628</t>
  </si>
  <si>
    <t>460004********322X</t>
  </si>
  <si>
    <t>460025********3648</t>
  </si>
  <si>
    <t>460026********0074</t>
  </si>
  <si>
    <t>450922********3229</t>
  </si>
  <si>
    <t>460031********6833</t>
  </si>
  <si>
    <t>460028********1219</t>
  </si>
  <si>
    <t>460036********4126</t>
  </si>
  <si>
    <t>460036********4142</t>
  </si>
  <si>
    <t>460027********6249</t>
  </si>
  <si>
    <t>460025********0987</t>
  </si>
  <si>
    <t>460027********231X</t>
  </si>
  <si>
    <t>460034********4129</t>
  </si>
  <si>
    <t>460003********2814</t>
  </si>
  <si>
    <t>460102********0350</t>
  </si>
  <si>
    <t>469003********5619</t>
  </si>
  <si>
    <t>460027********6629</t>
  </si>
  <si>
    <t>460027********4424</t>
  </si>
  <si>
    <t>460300********0627</t>
  </si>
  <si>
    <t>460003********4633</t>
  </si>
  <si>
    <t>460001********192X</t>
  </si>
  <si>
    <t>460027********1321</t>
  </si>
  <si>
    <t>460027********1023</t>
  </si>
  <si>
    <t>460025********0911</t>
  </si>
  <si>
    <t>460028********7284</t>
  </si>
  <si>
    <t>460006********7829</t>
  </si>
  <si>
    <t>460026********2725</t>
  </si>
  <si>
    <t>432503********0129</t>
  </si>
  <si>
    <t>410711********0540</t>
  </si>
  <si>
    <t>460027********0428</t>
  </si>
  <si>
    <t>460027********3748</t>
  </si>
  <si>
    <t>460006********4417</t>
  </si>
  <si>
    <t>460006********1671</t>
  </si>
  <si>
    <t>460027********0612</t>
  </si>
  <si>
    <t>460034********2716</t>
  </si>
  <si>
    <t>460005********6229</t>
  </si>
  <si>
    <t>460036********0012</t>
  </si>
  <si>
    <t>460004********4035</t>
  </si>
  <si>
    <t>460027********1325</t>
  </si>
  <si>
    <t>460028********4810</t>
  </si>
  <si>
    <t>460003********4243</t>
  </si>
  <si>
    <t>460200********2497</t>
  </si>
  <si>
    <t>460003********4650</t>
  </si>
  <si>
    <t>460027********1367</t>
  </si>
  <si>
    <t>460001********0755</t>
  </si>
  <si>
    <t>460003********3245</t>
  </si>
  <si>
    <t>460102********3330</t>
  </si>
  <si>
    <t>460028********0048</t>
  </si>
  <si>
    <t>230604********4714</t>
  </si>
  <si>
    <t>140427********0841</t>
  </si>
  <si>
    <t>460004********5821</t>
  </si>
  <si>
    <t>460103********2714</t>
  </si>
  <si>
    <t>460036********4124</t>
  </si>
  <si>
    <t>460003********0623</t>
  </si>
  <si>
    <t>460006********0425</t>
  </si>
  <si>
    <t>460027********5684</t>
  </si>
  <si>
    <t>460022********4322</t>
  </si>
  <si>
    <t>460003********2908</t>
  </si>
  <si>
    <t>460103********3628</t>
  </si>
  <si>
    <t>460006********0029</t>
  </si>
  <si>
    <t>230502********0921</t>
  </si>
  <si>
    <t>460003********2874</t>
  </si>
  <si>
    <t>469003********7024</t>
  </si>
  <si>
    <t>460003********2628</t>
  </si>
  <si>
    <t>220102********1424</t>
  </si>
  <si>
    <t>460103********1531</t>
  </si>
  <si>
    <t>460003********3831</t>
  </si>
  <si>
    <t>460003********0027</t>
  </si>
  <si>
    <t>460104********1240</t>
  </si>
  <si>
    <t>460003********0253</t>
  </si>
  <si>
    <t>460027********4149</t>
  </si>
  <si>
    <t>460103********002X</t>
  </si>
  <si>
    <t>460027********0616</t>
  </si>
  <si>
    <t>460103********0324</t>
  </si>
  <si>
    <t>460004********023X</t>
  </si>
  <si>
    <t>460200********4441</t>
  </si>
  <si>
    <t>450326********1520</t>
  </si>
  <si>
    <t>460028********521X</t>
  </si>
  <si>
    <t>460200********5528</t>
  </si>
  <si>
    <t>460004********5217</t>
  </si>
  <si>
    <t>460031********3616</t>
  </si>
  <si>
    <t>460030********5427</t>
  </si>
  <si>
    <t>460002********4911</t>
  </si>
  <si>
    <t>460003********3428</t>
  </si>
  <si>
    <t>460300********0046</t>
  </si>
  <si>
    <t>460300********0317</t>
  </si>
  <si>
    <t>420582********0085</t>
  </si>
  <si>
    <t>460028********3236</t>
  </si>
  <si>
    <t>142326********2417</t>
  </si>
  <si>
    <t>460003********4045</t>
  </si>
  <si>
    <t>460028********6047</t>
  </si>
  <si>
    <t>460027********1717</t>
  </si>
  <si>
    <t>460006********4468</t>
  </si>
  <si>
    <t>460028********5627</t>
  </si>
  <si>
    <t>460027********133X</t>
  </si>
  <si>
    <t>460003********0018</t>
  </si>
  <si>
    <t>420802********0425</t>
  </si>
  <si>
    <t>460027********5682</t>
  </si>
  <si>
    <t>460025********1525</t>
  </si>
  <si>
    <t>460027********5124</t>
  </si>
  <si>
    <t>460104********1211</t>
  </si>
  <si>
    <t>460003********141X</t>
  </si>
  <si>
    <t>460026********3043</t>
  </si>
  <si>
    <t>460004********3225</t>
  </si>
  <si>
    <t>469003********5640</t>
  </si>
  <si>
    <t>460027********4120</t>
  </si>
  <si>
    <t>431121********7318</t>
  </si>
  <si>
    <t>460033********5108</t>
  </si>
  <si>
    <t>460104********1229</t>
  </si>
  <si>
    <t>460102********3327</t>
  </si>
  <si>
    <t>460027********6615</t>
  </si>
  <si>
    <t>460031********3618</t>
  </si>
  <si>
    <t>460004********0031</t>
  </si>
  <si>
    <t>410224********0029</t>
  </si>
  <si>
    <t>460003********2444</t>
  </si>
  <si>
    <t>460003********3048</t>
  </si>
  <si>
    <t>460032********3874</t>
  </si>
  <si>
    <t>460002********4112</t>
  </si>
  <si>
    <t>460003********4610</t>
  </si>
  <si>
    <t>460025********2125</t>
  </si>
  <si>
    <t>460027********2310</t>
  </si>
  <si>
    <t>460033********3229</t>
  </si>
  <si>
    <t>460103********0627</t>
  </si>
  <si>
    <t>460027********0639</t>
  </si>
  <si>
    <t>460027********0649</t>
  </si>
  <si>
    <t>460004********4021</t>
  </si>
  <si>
    <t>460102********0940</t>
  </si>
  <si>
    <t>532128********4047</t>
  </si>
  <si>
    <t>460004********1817</t>
  </si>
  <si>
    <t>460102********1233</t>
  </si>
  <si>
    <t>130903********1823</t>
  </si>
  <si>
    <t>460007********5008</t>
  </si>
  <si>
    <t>460004********2023</t>
  </si>
  <si>
    <t>460003********3026</t>
  </si>
  <si>
    <t>460028********0423</t>
  </si>
  <si>
    <t>460033********0015</t>
  </si>
  <si>
    <t>331081********0011</t>
  </si>
  <si>
    <t>430902********7107</t>
  </si>
  <si>
    <t>460004********2021</t>
  </si>
  <si>
    <t>460027********5315</t>
  </si>
  <si>
    <t>460200********1398</t>
  </si>
  <si>
    <t>460027********7659</t>
  </si>
  <si>
    <t>460027********8216</t>
  </si>
  <si>
    <t>460027********5702</t>
  </si>
  <si>
    <t>460006********0946</t>
  </si>
  <si>
    <t>460028********1248</t>
  </si>
  <si>
    <t>460003********4820</t>
  </si>
  <si>
    <t>530321********1114</t>
  </si>
  <si>
    <t>460102********1254</t>
  </si>
  <si>
    <t>460003********2024</t>
  </si>
  <si>
    <t>460003********1840</t>
  </si>
  <si>
    <t>340421********0621</t>
  </si>
  <si>
    <t>460033********0019</t>
  </si>
  <si>
    <t>460027********5657</t>
  </si>
  <si>
    <t>460005********0015</t>
  </si>
  <si>
    <t>460027********8844</t>
  </si>
  <si>
    <t>460028********606X</t>
  </si>
  <si>
    <t>362204********5324</t>
  </si>
  <si>
    <t>460003********0044</t>
  </si>
  <si>
    <t>460028********4441</t>
  </si>
  <si>
    <t>460006********8110</t>
  </si>
  <si>
    <t>460003********6639</t>
  </si>
  <si>
    <t>469005********3924</t>
  </si>
  <si>
    <t>460103********1528</t>
  </si>
  <si>
    <t>460006********063X</t>
  </si>
  <si>
    <t>460027********3438</t>
  </si>
  <si>
    <t>460027********0715</t>
  </si>
  <si>
    <t>460027********6619</t>
  </si>
  <si>
    <t>460027********0021</t>
  </si>
  <si>
    <t>460003********2644</t>
  </si>
  <si>
    <t>360681********5349</t>
  </si>
  <si>
    <t>460107********0812</t>
  </si>
  <si>
    <t>460103********2718</t>
  </si>
  <si>
    <t>460022********2320</t>
  </si>
  <si>
    <t>460007********0068</t>
  </si>
  <si>
    <t>220104********1831</t>
  </si>
  <si>
    <t>460200********4705</t>
  </si>
  <si>
    <t>460103********2757</t>
  </si>
  <si>
    <t>460004********4012</t>
  </si>
  <si>
    <t>460007********6367</t>
  </si>
  <si>
    <t>460003********1704</t>
  </si>
  <si>
    <t>460004********0829</t>
  </si>
  <si>
    <t>460102********2128</t>
  </si>
  <si>
    <t>460027********2642</t>
  </si>
  <si>
    <t>460200********2305</t>
  </si>
  <si>
    <t>500381********262X</t>
  </si>
  <si>
    <t>460034********122X</t>
  </si>
  <si>
    <t>460300********0035</t>
  </si>
  <si>
    <t>460027********5323</t>
  </si>
  <si>
    <t>469027********748X</t>
  </si>
  <si>
    <t>460004********2828</t>
  </si>
  <si>
    <t>460028********0022</t>
  </si>
  <si>
    <t>460028********2824</t>
  </si>
  <si>
    <t>460006********0927</t>
  </si>
  <si>
    <t>460031********5227</t>
  </si>
  <si>
    <t>460004********5240</t>
  </si>
  <si>
    <t>460028********5214</t>
  </si>
  <si>
    <t>460028********6027</t>
  </si>
  <si>
    <t>460027********0662</t>
  </si>
  <si>
    <t>460003********3019</t>
  </si>
  <si>
    <t>522427********1623</t>
  </si>
  <si>
    <t>460102********1529</t>
  </si>
  <si>
    <t>469024********6817</t>
  </si>
  <si>
    <t>460028********6020</t>
  </si>
  <si>
    <t>460006********4422</t>
  </si>
  <si>
    <t>460026********0050</t>
  </si>
  <si>
    <t>460027********5321</t>
  </si>
  <si>
    <t>460104********1248</t>
  </si>
  <si>
    <t>460007********0025</t>
  </si>
  <si>
    <t>460003********4237</t>
  </si>
  <si>
    <t>460007********2021</t>
  </si>
  <si>
    <t>460026********0018</t>
  </si>
  <si>
    <t>460103********1817</t>
  </si>
  <si>
    <t>460003********1416</t>
  </si>
  <si>
    <t>460006********0013</t>
  </si>
  <si>
    <t>460003********307X</t>
  </si>
  <si>
    <t>460026********0017</t>
  </si>
  <si>
    <t>460200********1207</t>
  </si>
  <si>
    <t>460027********7446</t>
  </si>
  <si>
    <t>460005********0714</t>
  </si>
  <si>
    <t>460200********1664</t>
  </si>
  <si>
    <t>460028********2414</t>
  </si>
  <si>
    <t>460028********0037</t>
  </si>
  <si>
    <t>460004********0429</t>
  </si>
  <si>
    <t>460033********4477</t>
  </si>
  <si>
    <t>231003********3522</t>
  </si>
  <si>
    <t>460027********8529</t>
  </si>
  <si>
    <t>460006********5275</t>
  </si>
  <si>
    <t>460007********5781</t>
  </si>
  <si>
    <t>460103********1824</t>
  </si>
  <si>
    <t>410811********0010</t>
  </si>
  <si>
    <t>460027********0044</t>
  </si>
  <si>
    <t>460034********0412</t>
  </si>
  <si>
    <t>460027********0013</t>
  </si>
  <si>
    <t>460003********5811</t>
  </si>
  <si>
    <t>440223********001X</t>
  </si>
  <si>
    <t>460103********3622</t>
  </si>
  <si>
    <t>460003********5670</t>
  </si>
  <si>
    <t>460033********038X</t>
  </si>
  <si>
    <t>460027********3715</t>
  </si>
  <si>
    <t>460027********291X</t>
  </si>
  <si>
    <t>460003********3885</t>
  </si>
  <si>
    <t>430624********832X</t>
  </si>
  <si>
    <t>460028********6031</t>
  </si>
  <si>
    <t>460031********361X</t>
  </si>
  <si>
    <t>460030********5414</t>
  </si>
  <si>
    <t>460003********8322</t>
  </si>
  <si>
    <t>460028********0420</t>
  </si>
  <si>
    <t>460027********0611</t>
  </si>
  <si>
    <t>460028********0014</t>
  </si>
  <si>
    <t>460033********3883</t>
  </si>
  <si>
    <t>460003********0011</t>
  </si>
  <si>
    <t>132201********2089</t>
  </si>
  <si>
    <t>130634********2944</t>
  </si>
  <si>
    <t>430405********3048</t>
  </si>
  <si>
    <t>469026********566X</t>
  </si>
  <si>
    <t>460004********0415</t>
  </si>
  <si>
    <t>460031********6421</t>
  </si>
  <si>
    <t>460104********0020</t>
  </si>
  <si>
    <t>460028********5622</t>
  </si>
  <si>
    <t>460028********0864</t>
  </si>
  <si>
    <t>460035********2365</t>
  </si>
  <si>
    <t>460002********5223</t>
  </si>
  <si>
    <t>460004********1624</t>
  </si>
  <si>
    <t>460032********7627</t>
  </si>
  <si>
    <t>460007********0027</t>
  </si>
  <si>
    <t>460027********8525</t>
  </si>
  <si>
    <t>460034********3018</t>
  </si>
  <si>
    <t>460003********2812</t>
  </si>
  <si>
    <t>469003********5024</t>
  </si>
  <si>
    <t>460300********0026</t>
  </si>
  <si>
    <t>460003********0432</t>
  </si>
  <si>
    <t>513023********6529</t>
  </si>
  <si>
    <t>231081********0028</t>
  </si>
  <si>
    <t>460102********3036</t>
  </si>
  <si>
    <t>460030********5425</t>
  </si>
  <si>
    <t>460004********4629</t>
  </si>
  <si>
    <t>460027********2311</t>
  </si>
  <si>
    <t>460003********4640</t>
  </si>
  <si>
    <t>460004********0027</t>
  </si>
  <si>
    <t>460031********0829</t>
  </si>
  <si>
    <t>460004********0904</t>
  </si>
  <si>
    <t>460002********3843</t>
  </si>
  <si>
    <t>460025********4840</t>
  </si>
  <si>
    <t>460007********4995</t>
  </si>
  <si>
    <t>342222********2461</t>
  </si>
  <si>
    <t>460027********0416</t>
  </si>
  <si>
    <t>469024********5228</t>
  </si>
  <si>
    <t>460003********482X</t>
  </si>
  <si>
    <t>460034********0030</t>
  </si>
  <si>
    <t>460006********2345</t>
  </si>
  <si>
    <t>460033********4187</t>
  </si>
  <si>
    <t>460004********3462</t>
  </si>
  <si>
    <t>460028********6842</t>
  </si>
  <si>
    <t>460026********5124</t>
  </si>
  <si>
    <t>460021********4426</t>
  </si>
  <si>
    <t>460027********2923</t>
  </si>
  <si>
    <t>460003********425X</t>
  </si>
  <si>
    <t>469024********5618</t>
  </si>
  <si>
    <t>341322********6822</t>
  </si>
  <si>
    <t>460021********4428</t>
  </si>
  <si>
    <t>150302********2512</t>
  </si>
  <si>
    <t>460007********3365</t>
  </si>
  <si>
    <t>460003********4428</t>
  </si>
  <si>
    <t>460006********0023</t>
  </si>
  <si>
    <t>411522********4599</t>
  </si>
  <si>
    <t>460035********0911</t>
  </si>
  <si>
    <t>460103********0620</t>
  </si>
  <si>
    <t>460103********2121</t>
  </si>
  <si>
    <t>460102********1227</t>
  </si>
  <si>
    <t>460027********104X</t>
  </si>
  <si>
    <t>452123********1020</t>
  </si>
  <si>
    <t>460104********1280</t>
  </si>
  <si>
    <t>460028********7210</t>
  </si>
  <si>
    <t>460025********0021</t>
  </si>
  <si>
    <t>460027********0618</t>
  </si>
  <si>
    <t>469023********4714</t>
  </si>
  <si>
    <t>460035********2329</t>
  </si>
  <si>
    <t>460027********2019</t>
  </si>
  <si>
    <t>469023********5920</t>
  </si>
  <si>
    <t>460005********0729</t>
  </si>
  <si>
    <t>460034********5540</t>
  </si>
  <si>
    <t>460004********2629</t>
  </si>
  <si>
    <t>460033********0011</t>
  </si>
  <si>
    <t>460033********0029</t>
  </si>
  <si>
    <t>460002********0554</t>
  </si>
  <si>
    <t>460027********2996</t>
  </si>
  <si>
    <t>460004********3218</t>
  </si>
  <si>
    <t>460033********3223</t>
  </si>
  <si>
    <t>460003********7619</t>
  </si>
  <si>
    <t>460104********0036</t>
  </si>
  <si>
    <t>460003********2824</t>
  </si>
  <si>
    <t>460036********1819</t>
  </si>
  <si>
    <t>220122********0019</t>
  </si>
  <si>
    <t>460003********5823</t>
  </si>
  <si>
    <t>460004********4625</t>
  </si>
  <si>
    <t>460102********1523</t>
  </si>
  <si>
    <t>460004********0056</t>
  </si>
  <si>
    <t>460105********7565</t>
  </si>
  <si>
    <t>460003********1425</t>
  </si>
  <si>
    <t>460026********0930</t>
  </si>
  <si>
    <t>460027********6628</t>
  </si>
  <si>
    <t>460027********0025</t>
  </si>
  <si>
    <t>460004********2031</t>
  </si>
  <si>
    <t>460007********7239</t>
  </si>
  <si>
    <t>142723********0228</t>
  </si>
  <si>
    <t>460025********0623</t>
  </si>
  <si>
    <t>460004********1230</t>
  </si>
  <si>
    <t>460027********4430</t>
  </si>
  <si>
    <t>460003********3059</t>
  </si>
  <si>
    <t>460033********4505</t>
  </si>
  <si>
    <t>460031********0826</t>
  </si>
  <si>
    <t>460028********3624</t>
  </si>
  <si>
    <t>460300********0667</t>
  </si>
  <si>
    <t>460034********0423</t>
  </si>
  <si>
    <t>460004********066X</t>
  </si>
  <si>
    <t>460028********4027</t>
  </si>
  <si>
    <t>460027********1335</t>
  </si>
  <si>
    <t>460027********3743</t>
  </si>
  <si>
    <t>469023********1321</t>
  </si>
  <si>
    <t>460030********542X</t>
  </si>
  <si>
    <t>460028********0440</t>
  </si>
  <si>
    <t>460028********0443</t>
  </si>
  <si>
    <t>460036********1524</t>
  </si>
  <si>
    <t>460025********2421</t>
  </si>
  <si>
    <t>460027********6654</t>
  </si>
  <si>
    <t>410106********0087</t>
  </si>
  <si>
    <t>410104********0071</t>
  </si>
  <si>
    <t>460102********1823</t>
  </si>
  <si>
    <t>460003********1817</t>
  </si>
  <si>
    <t>460004********0223</t>
  </si>
  <si>
    <t>460003********6227</t>
  </si>
  <si>
    <t>460005********5128</t>
  </si>
  <si>
    <t>469003********5629</t>
  </si>
  <si>
    <t>362522********1526</t>
  </si>
  <si>
    <t>460027********2015</t>
  </si>
  <si>
    <t>410811********0115</t>
  </si>
  <si>
    <t>350481********6025</t>
  </si>
  <si>
    <t>452122********3625</t>
  </si>
  <si>
    <t>460027********4714</t>
  </si>
  <si>
    <t>460103********1510</t>
  </si>
  <si>
    <t>412822********3165</t>
  </si>
  <si>
    <t>460003********1632</t>
  </si>
  <si>
    <t>460027********4726</t>
  </si>
  <si>
    <t>460004********0011</t>
  </si>
  <si>
    <t>460004********6417</t>
  </si>
  <si>
    <t>460102********0920</t>
  </si>
  <si>
    <t>150304********0528</t>
  </si>
  <si>
    <t>232326********6244</t>
  </si>
  <si>
    <t>460107********2620</t>
  </si>
  <si>
    <t>460036********0014</t>
  </si>
  <si>
    <t>460024********0910</t>
  </si>
  <si>
    <t>460031********0859</t>
  </si>
  <si>
    <t>469024********602X</t>
  </si>
  <si>
    <t>460033********778X</t>
  </si>
  <si>
    <t>460027********4713</t>
  </si>
  <si>
    <t>460006********0224</t>
  </si>
  <si>
    <t>460025********2123</t>
  </si>
  <si>
    <t>460025********2737</t>
  </si>
  <si>
    <t>460004********4036</t>
  </si>
  <si>
    <t>460003********2622</t>
  </si>
  <si>
    <t>460027********0419</t>
  </si>
  <si>
    <t>460103********0641</t>
  </si>
  <si>
    <t>460003********3323</t>
  </si>
  <si>
    <t>469003********2722</t>
  </si>
  <si>
    <t>460200********3827</t>
  </si>
  <si>
    <t>460026********0927</t>
  </si>
  <si>
    <t>460028********0044</t>
  </si>
  <si>
    <t>460004********3859</t>
  </si>
  <si>
    <t>460006********5610</t>
  </si>
  <si>
    <t>460027********6611</t>
  </si>
  <si>
    <t>460027********1337</t>
  </si>
  <si>
    <t>460004********0064</t>
  </si>
  <si>
    <t>342426********0021</t>
  </si>
  <si>
    <t>460027********2978</t>
  </si>
  <si>
    <t>460003********0415</t>
  </si>
  <si>
    <t>469003********3726</t>
  </si>
  <si>
    <t>460027********7323</t>
  </si>
  <si>
    <t>460034********0426</t>
  </si>
  <si>
    <t>411503********0064</t>
  </si>
  <si>
    <t>460027********261X</t>
  </si>
  <si>
    <t>460003********3040</t>
  </si>
  <si>
    <t>460028********7214</t>
  </si>
  <si>
    <t>460003********1812</t>
  </si>
  <si>
    <t>460027********2347</t>
  </si>
  <si>
    <t>460003********225X</t>
  </si>
  <si>
    <t>460004********4418</t>
  </si>
  <si>
    <t>460003********5424</t>
  </si>
  <si>
    <t>460104********0010</t>
  </si>
  <si>
    <t>460027********2646</t>
  </si>
  <si>
    <t>460004********0018</t>
  </si>
  <si>
    <t>460028********3247</t>
  </si>
  <si>
    <t>460004********5024</t>
  </si>
  <si>
    <t>460005********2116</t>
  </si>
  <si>
    <t>460003********264X</t>
  </si>
  <si>
    <t>460104********0924</t>
  </si>
  <si>
    <t>460036********002X</t>
  </si>
  <si>
    <t>460004********523X</t>
  </si>
  <si>
    <t>460003********1624</t>
  </si>
  <si>
    <t>460004********1421</t>
  </si>
  <si>
    <t>460027********822X</t>
  </si>
  <si>
    <t>460004********4821</t>
  </si>
  <si>
    <t>420704********4280</t>
  </si>
  <si>
    <t>230902********1747</t>
  </si>
  <si>
    <t>152722********0029</t>
  </si>
  <si>
    <t>460007********0065</t>
  </si>
  <si>
    <t>440825********0962</t>
  </si>
  <si>
    <t>460003********8121</t>
  </si>
  <si>
    <t>460028********2446</t>
  </si>
  <si>
    <t>460025********0614</t>
  </si>
  <si>
    <t>460028********2825</t>
  </si>
  <si>
    <t>371202********0821</t>
  </si>
  <si>
    <t>460102********1518</t>
  </si>
  <si>
    <t>460003********6673</t>
  </si>
  <si>
    <t>460004********0615</t>
  </si>
  <si>
    <t>460003********5612</t>
  </si>
  <si>
    <t>460028********2421</t>
  </si>
  <si>
    <t>460106********4129</t>
  </si>
  <si>
    <t>460034********3623</t>
  </si>
  <si>
    <t>430621********5429</t>
  </si>
  <si>
    <t>460003********0638</t>
  </si>
  <si>
    <t>460002********0034</t>
  </si>
  <si>
    <t>460006********2748</t>
  </si>
  <si>
    <t>460001********0735</t>
  </si>
  <si>
    <t>460006********4020</t>
  </si>
  <si>
    <t>460027********4124</t>
  </si>
  <si>
    <t>460031********5249</t>
  </si>
  <si>
    <t>460003********2422</t>
  </si>
  <si>
    <t>460003********1627</t>
  </si>
  <si>
    <t>460036********7527</t>
  </si>
  <si>
    <t>460003********5847</t>
  </si>
  <si>
    <t>460036********0020</t>
  </si>
  <si>
    <t>362429********0043</t>
  </si>
  <si>
    <t>460022********121X</t>
  </si>
  <si>
    <t>460033********4650</t>
  </si>
  <si>
    <t>460003********6022</t>
  </si>
  <si>
    <t>460027********5127</t>
  </si>
  <si>
    <t>469023********0427</t>
  </si>
  <si>
    <t>460003********4856</t>
  </si>
  <si>
    <t>460003********6029</t>
  </si>
  <si>
    <t>460025********4816</t>
  </si>
  <si>
    <t>460027********1027</t>
  </si>
  <si>
    <t>460033********3289</t>
  </si>
  <si>
    <t>460026********0026</t>
  </si>
  <si>
    <t>460031********6817</t>
  </si>
  <si>
    <t>460034********0424</t>
  </si>
  <si>
    <t>460027********2321</t>
  </si>
  <si>
    <t>469003********7326</t>
  </si>
  <si>
    <t>460027********1372</t>
  </si>
  <si>
    <t>469025********4527</t>
  </si>
  <si>
    <t>460103********1223</t>
  </si>
  <si>
    <t>469024********0425</t>
  </si>
  <si>
    <t>460003********301X</t>
  </si>
  <si>
    <t>460028********2424</t>
  </si>
  <si>
    <t>410122********9812</t>
  </si>
  <si>
    <t>152223********0268</t>
  </si>
  <si>
    <t>460002********3810</t>
  </si>
  <si>
    <t>460028********1285</t>
  </si>
  <si>
    <t>460027********5979</t>
  </si>
  <si>
    <t>460003********1467</t>
  </si>
  <si>
    <t>460006********0010</t>
  </si>
  <si>
    <t>460027********066X</t>
  </si>
  <si>
    <t>460022********5625</t>
  </si>
  <si>
    <t>460004********4429</t>
  </si>
  <si>
    <t>460003********0021</t>
  </si>
  <si>
    <t>460028********5626</t>
  </si>
  <si>
    <t>460028********124X</t>
  </si>
  <si>
    <t>460028********5228</t>
  </si>
  <si>
    <t>460036********2911</t>
  </si>
  <si>
    <t>460022********3540</t>
  </si>
  <si>
    <t>460005********3719</t>
  </si>
  <si>
    <t>460300********0644</t>
  </si>
  <si>
    <t>460004********1224</t>
  </si>
  <si>
    <t>460033********1187</t>
  </si>
  <si>
    <t>460022********3224</t>
  </si>
  <si>
    <t>460007********2299</t>
  </si>
  <si>
    <t>460028********3243</t>
  </si>
  <si>
    <t>460027********4716</t>
  </si>
  <si>
    <t>460028********562X</t>
  </si>
  <si>
    <t>469003********122X</t>
  </si>
  <si>
    <t>460028********0015</t>
  </si>
  <si>
    <t>360722********6322</t>
  </si>
  <si>
    <t>460028********6063</t>
  </si>
  <si>
    <t>460103********0046</t>
  </si>
  <si>
    <t>469003********2791</t>
  </si>
  <si>
    <t>460028********2412</t>
  </si>
  <si>
    <t>460004********6217</t>
  </si>
  <si>
    <t>460200********026X</t>
  </si>
  <si>
    <t>460003********261X</t>
  </si>
  <si>
    <t>460030********6320</t>
  </si>
  <si>
    <t>460003********3035</t>
  </si>
  <si>
    <t>460104********1221</t>
  </si>
  <si>
    <t>469003********2797</t>
  </si>
  <si>
    <t>460003********0427</t>
  </si>
  <si>
    <t>469023********7928</t>
  </si>
  <si>
    <t>460003********3469</t>
  </si>
  <si>
    <t>460104********0911</t>
  </si>
  <si>
    <t>460300********062X</t>
  </si>
  <si>
    <t>230104********2225</t>
  </si>
  <si>
    <t>460027********2969</t>
  </si>
  <si>
    <t>460200********0046</t>
  </si>
  <si>
    <t>460001********2229</t>
  </si>
  <si>
    <t>460028********0812</t>
  </si>
  <si>
    <t>460028********041X</t>
  </si>
  <si>
    <t>460028********5643</t>
  </si>
  <si>
    <t>460027********373X</t>
  </si>
  <si>
    <t>460027********4440</t>
  </si>
  <si>
    <t>460006********7511</t>
  </si>
  <si>
    <t>460028********0040</t>
  </si>
  <si>
    <t>460027********4122</t>
  </si>
  <si>
    <t>460033********4485</t>
  </si>
  <si>
    <t>460003********3022</t>
  </si>
  <si>
    <t>460026********1847</t>
  </si>
  <si>
    <t>520121********2847</t>
  </si>
  <si>
    <t>142630********3026</t>
  </si>
  <si>
    <t>460027********3719</t>
  </si>
  <si>
    <t>460033********3228</t>
  </si>
  <si>
    <t>141124********0101</t>
  </si>
  <si>
    <t>460028********6416</t>
  </si>
  <si>
    <t>460102********1835</t>
  </si>
  <si>
    <t>152123********3918</t>
  </si>
  <si>
    <t>460104********0943</t>
  </si>
  <si>
    <t>460031********0024</t>
  </si>
  <si>
    <t>460005********3223</t>
  </si>
  <si>
    <t>460003********2633</t>
  </si>
  <si>
    <t>460027********4113</t>
  </si>
  <si>
    <t>460003********0440</t>
  </si>
  <si>
    <t>460005********0022</t>
  </si>
  <si>
    <t>460006********2927</t>
  </si>
  <si>
    <t>460027********7919</t>
  </si>
  <si>
    <t>460027********0035</t>
  </si>
  <si>
    <t>460028********0025</t>
  </si>
  <si>
    <t>340881********5141</t>
  </si>
  <si>
    <t>460028********0105</t>
  </si>
  <si>
    <t>460004********4016</t>
  </si>
  <si>
    <t>460028********3221</t>
  </si>
  <si>
    <t>371122********1511</t>
  </si>
  <si>
    <t>460007********0856</t>
  </si>
  <si>
    <t>460004********0824</t>
  </si>
  <si>
    <t>460103********1822</t>
  </si>
  <si>
    <t>469023********2661</t>
  </si>
  <si>
    <t>460103********3611</t>
  </si>
  <si>
    <t>140105********1829</t>
  </si>
  <si>
    <t>469023********0418</t>
  </si>
  <si>
    <t>460036********0016</t>
  </si>
  <si>
    <t>469007********7238</t>
  </si>
  <si>
    <t>460005********511X</t>
  </si>
  <si>
    <t>460001********0759</t>
  </si>
  <si>
    <t>460103********2729</t>
  </si>
  <si>
    <t>610322********4822</t>
  </si>
  <si>
    <t>460027********0057</t>
  </si>
  <si>
    <t>460003********763X</t>
  </si>
  <si>
    <t>460027********0049</t>
  </si>
  <si>
    <t>460027********171X</t>
  </si>
  <si>
    <t>460007********4970</t>
  </si>
  <si>
    <t>460028********2827</t>
  </si>
  <si>
    <t>460003********3475</t>
  </si>
  <si>
    <t>650103********1821</t>
  </si>
  <si>
    <t>460025********4223</t>
  </si>
  <si>
    <t>460006********0615</t>
  </si>
  <si>
    <t>460033********2685</t>
  </si>
  <si>
    <t>460004********0676</t>
  </si>
  <si>
    <t>460033********7238</t>
  </si>
  <si>
    <t>460003********2456</t>
  </si>
  <si>
    <t>460033********3245</t>
  </si>
  <si>
    <t>412726********202X</t>
  </si>
  <si>
    <t>410183********0529</t>
  </si>
  <si>
    <t>460027********2020</t>
  </si>
  <si>
    <t>460004********5445</t>
  </si>
  <si>
    <t>460022********1024</t>
  </si>
  <si>
    <t>460027********4721</t>
  </si>
  <si>
    <t>230230********042X</t>
  </si>
  <si>
    <t>460004********2040</t>
  </si>
  <si>
    <t>130426********4249</t>
  </si>
  <si>
    <t>460027********3423</t>
  </si>
  <si>
    <t>460200********2120</t>
  </si>
  <si>
    <t>620422********8123</t>
  </si>
  <si>
    <t>460027********6219</t>
  </si>
  <si>
    <t>460006********2920</t>
  </si>
  <si>
    <t>460027********2627</t>
  </si>
  <si>
    <t>460103********0322</t>
  </si>
  <si>
    <t>460004********3224</t>
  </si>
  <si>
    <t>450721********0930</t>
  </si>
  <si>
    <t>460027********5675</t>
  </si>
  <si>
    <t>460005********2526</t>
  </si>
  <si>
    <t>460004********3035</t>
  </si>
  <si>
    <t>460030********0021</t>
  </si>
  <si>
    <t>460027********6723</t>
  </si>
  <si>
    <t>445322********3727</t>
  </si>
  <si>
    <t>460007********0424</t>
  </si>
  <si>
    <t>460004********0022</t>
  </si>
  <si>
    <t>460007********0037</t>
  </si>
  <si>
    <t>460004********3833</t>
  </si>
  <si>
    <t>460027********8535</t>
  </si>
  <si>
    <t>142202********3663</t>
  </si>
  <si>
    <t>410381********5025</t>
  </si>
  <si>
    <t>460022********5161</t>
  </si>
  <si>
    <t>460004********3627</t>
  </si>
  <si>
    <t>460003********2237</t>
  </si>
  <si>
    <t>460036********0027</t>
  </si>
  <si>
    <t>460027********0615</t>
  </si>
  <si>
    <t>460004********1243</t>
  </si>
  <si>
    <t>460003********2062</t>
  </si>
  <si>
    <t>460006********4457</t>
  </si>
  <si>
    <t>460027********7624</t>
  </si>
  <si>
    <t>460035********1316</t>
  </si>
  <si>
    <t>460028********568X</t>
  </si>
  <si>
    <t>460028********7617</t>
  </si>
  <si>
    <t>460004********4213</t>
  </si>
  <si>
    <t>460027********2920</t>
  </si>
  <si>
    <t>460004********1440</t>
  </si>
  <si>
    <t>460027********8501</t>
  </si>
  <si>
    <t>460027********2323</t>
  </si>
  <si>
    <t>460004********0215</t>
  </si>
  <si>
    <t>469007********5761</t>
  </si>
  <si>
    <t>460033********3274</t>
  </si>
  <si>
    <t>460002********0329</t>
  </si>
  <si>
    <t>622621********4225</t>
  </si>
  <si>
    <t>460004********2037</t>
  </si>
  <si>
    <t>460028********2418</t>
  </si>
  <si>
    <t>469023********0036</t>
  </si>
  <si>
    <t>469021********1524</t>
  </si>
  <si>
    <t>460027********7011</t>
  </si>
  <si>
    <t>460004********4421</t>
  </si>
  <si>
    <t>460003********4621</t>
  </si>
  <si>
    <t>460026********0034</t>
  </si>
  <si>
    <t>460006********1626</t>
  </si>
  <si>
    <t>469003********5613</t>
  </si>
  <si>
    <t>430821********0011</t>
  </si>
  <si>
    <t>469023********8546</t>
  </si>
  <si>
    <t>150125********0218</t>
  </si>
  <si>
    <t>421126********0061</t>
  </si>
  <si>
    <t>460003********5422</t>
  </si>
  <si>
    <t>460027********3221</t>
  </si>
  <si>
    <t>440982********5920</t>
  </si>
  <si>
    <t>460026********0915</t>
  </si>
  <si>
    <t>460003********2856</t>
  </si>
  <si>
    <t>460036********7020</t>
  </si>
  <si>
    <t>460006********8738</t>
  </si>
  <si>
    <t>460028********2811</t>
  </si>
  <si>
    <t>460003********021X</t>
  </si>
  <si>
    <t>460002********6015</t>
  </si>
  <si>
    <t>460027********2325</t>
  </si>
  <si>
    <t>460030********0032</t>
  </si>
  <si>
    <t>620503********8022</t>
  </si>
  <si>
    <t>460007********387X</t>
  </si>
  <si>
    <t>460007********4991</t>
  </si>
  <si>
    <t>460027********4114</t>
  </si>
  <si>
    <t>460006********0411</t>
  </si>
  <si>
    <t>460003********4833</t>
  </si>
  <si>
    <t>362425********0020</t>
  </si>
  <si>
    <t>460103********2728</t>
  </si>
  <si>
    <t>460027********3722</t>
  </si>
  <si>
    <t>460027********2931</t>
  </si>
  <si>
    <t>460027********1010</t>
  </si>
  <si>
    <t>460005********3911</t>
  </si>
  <si>
    <t>460007********5360</t>
  </si>
  <si>
    <t>469023********5623</t>
  </si>
  <si>
    <t>460006********7546</t>
  </si>
  <si>
    <t>460003********3321</t>
  </si>
  <si>
    <t>460027********8262</t>
  </si>
  <si>
    <t>460003********5826</t>
  </si>
  <si>
    <t>460027********3727</t>
  </si>
  <si>
    <t>460003********7017</t>
  </si>
  <si>
    <t>460103********1525</t>
  </si>
  <si>
    <t>469024********0020</t>
  </si>
  <si>
    <t>460003********0412</t>
  </si>
  <si>
    <t>460028********6041</t>
  </si>
  <si>
    <t>469003********2220</t>
  </si>
  <si>
    <t>460027********2947</t>
  </si>
  <si>
    <t>460003********4453</t>
  </si>
  <si>
    <t>230102********4629</t>
  </si>
  <si>
    <t>460200********4909</t>
  </si>
  <si>
    <t>460007********002X</t>
  </si>
  <si>
    <t>460102********063X</t>
  </si>
  <si>
    <t>460104********0935</t>
  </si>
  <si>
    <t>460007********5414</t>
  </si>
  <si>
    <t>460003********3054</t>
  </si>
  <si>
    <t>469024********5621</t>
  </si>
  <si>
    <t>460036********041X</t>
  </si>
  <si>
    <t>460036********5223</t>
  </si>
  <si>
    <t>460033********3888</t>
  </si>
  <si>
    <t>460003********4828</t>
  </si>
  <si>
    <t>460103********0014</t>
  </si>
  <si>
    <t>460003********4212</t>
  </si>
  <si>
    <t>460007********7225</t>
  </si>
  <si>
    <t>460028********5229</t>
  </si>
  <si>
    <t>460006********0668</t>
  </si>
  <si>
    <t>460030********0019</t>
  </si>
  <si>
    <t>460004********3640</t>
  </si>
  <si>
    <t>460006********1320</t>
  </si>
  <si>
    <t>460028********5216</t>
  </si>
  <si>
    <t>460003********6020</t>
  </si>
  <si>
    <t>460102********1517</t>
  </si>
  <si>
    <t>130727********3733</t>
  </si>
  <si>
    <t>460004********341X</t>
  </si>
  <si>
    <t>469024********0428</t>
  </si>
  <si>
    <t>460108********5026</t>
  </si>
  <si>
    <t>460027********0455</t>
  </si>
  <si>
    <t>460025********4527</t>
  </si>
  <si>
    <t>460007********5013</t>
  </si>
  <si>
    <t>460003********3029</t>
  </si>
  <si>
    <t>460004********5826</t>
  </si>
  <si>
    <t>460027********5711</t>
  </si>
  <si>
    <t>460028********6014</t>
  </si>
  <si>
    <t>460030********0310</t>
  </si>
  <si>
    <t>460027********7922</t>
  </si>
  <si>
    <t>460005********4845</t>
  </si>
  <si>
    <t>460102********152X</t>
  </si>
  <si>
    <t>460003********1636</t>
  </si>
  <si>
    <t>460027********3739</t>
  </si>
  <si>
    <t>460027********3714</t>
  </si>
  <si>
    <t>370481********5683</t>
  </si>
  <si>
    <t>460003********7421</t>
  </si>
  <si>
    <t>220122********7228</t>
  </si>
  <si>
    <t>460004********0092</t>
  </si>
  <si>
    <t>460102********1525</t>
  </si>
  <si>
    <t>460003********0811</t>
  </si>
  <si>
    <t>460103********1255</t>
  </si>
  <si>
    <t>460004********0820</t>
  </si>
  <si>
    <t>460033********4843</t>
  </si>
  <si>
    <t>140106********2561</t>
  </si>
  <si>
    <t>460033********6885</t>
  </si>
  <si>
    <t>500230********2366</t>
  </si>
  <si>
    <t>220204********0014</t>
  </si>
  <si>
    <t>460003********7810</t>
  </si>
  <si>
    <t>460004********4020</t>
  </si>
  <si>
    <t>460028********522X</t>
  </si>
  <si>
    <t>460027********2051</t>
  </si>
  <si>
    <t>460030********2425</t>
  </si>
  <si>
    <t>460022********0321</t>
  </si>
  <si>
    <t>460003********401X</t>
  </si>
  <si>
    <t>460006********0642</t>
  </si>
  <si>
    <t>231002********2012</t>
  </si>
  <si>
    <t>460104********0623</t>
  </si>
  <si>
    <t>230305********5024</t>
  </si>
  <si>
    <t>142731********3016</t>
  </si>
  <si>
    <t>469003********6127</t>
  </si>
  <si>
    <t>460003********0022</t>
  </si>
  <si>
    <t>460002********3425</t>
  </si>
  <si>
    <t>460028********6037</t>
  </si>
  <si>
    <t>469024********0024</t>
  </si>
  <si>
    <t>460200********6334</t>
  </si>
  <si>
    <t>460027********3711</t>
  </si>
  <si>
    <t>460004********3625</t>
  </si>
  <si>
    <t>460001********0717</t>
  </si>
  <si>
    <t>230224********3922</t>
  </si>
  <si>
    <t>460033********2681</t>
  </si>
  <si>
    <t>620422********0239</t>
  </si>
  <si>
    <t>371502********1121</t>
  </si>
  <si>
    <t>440923********3796</t>
  </si>
  <si>
    <t>460004********5223</t>
  </si>
  <si>
    <t>652301********2827</t>
  </si>
  <si>
    <t>370181********6124</t>
  </si>
  <si>
    <t>460006********0428</t>
  </si>
  <si>
    <t>460003********4618</t>
  </si>
  <si>
    <t>460027********7640</t>
  </si>
  <si>
    <t>460002********2824</t>
  </si>
  <si>
    <t>362229********2827</t>
  </si>
  <si>
    <t>460031********0821</t>
  </si>
  <si>
    <t>460030********5111</t>
  </si>
  <si>
    <t>460006********1625</t>
  </si>
  <si>
    <t>460006********8422</t>
  </si>
  <si>
    <t>431227********0012</t>
  </si>
  <si>
    <t>460002********0524</t>
  </si>
  <si>
    <t>460004********3424</t>
  </si>
  <si>
    <t>410311********5521</t>
  </si>
  <si>
    <t>460027********0422</t>
  </si>
  <si>
    <t>511526********1118</t>
  </si>
  <si>
    <t>522422********324X</t>
  </si>
  <si>
    <t>460026********2727</t>
  </si>
  <si>
    <t>460033********4478</t>
  </si>
  <si>
    <t>460105********7125</t>
  </si>
  <si>
    <t>460003********7648</t>
  </si>
  <si>
    <t>460006********721X</t>
  </si>
  <si>
    <t>460006********6829</t>
  </si>
  <si>
    <t>469003********5014</t>
  </si>
  <si>
    <t>460003********0225</t>
  </si>
  <si>
    <t>460003********3426</t>
  </si>
  <si>
    <t>460036********0421</t>
  </si>
  <si>
    <t>460033********0039</t>
  </si>
  <si>
    <t>460030********331X</t>
  </si>
  <si>
    <t>460031********4822</t>
  </si>
  <si>
    <t>460025********2423</t>
  </si>
  <si>
    <t>460006********4018</t>
  </si>
  <si>
    <t>460027********1327</t>
  </si>
  <si>
    <t>460025********0020</t>
  </si>
  <si>
    <t>460006********4827</t>
  </si>
  <si>
    <t>460005********3529</t>
  </si>
  <si>
    <t>460027********2342</t>
  </si>
  <si>
    <t>511623********1163</t>
  </si>
  <si>
    <t>460004********1626</t>
  </si>
  <si>
    <t>460003********2416</t>
  </si>
  <si>
    <t>460003********0028</t>
  </si>
  <si>
    <t>460006********1613</t>
  </si>
  <si>
    <t>460030********332X</t>
  </si>
  <si>
    <t>460028********161X</t>
  </si>
  <si>
    <t>460027********201X</t>
  </si>
  <si>
    <t>460002********5815</t>
  </si>
  <si>
    <t>230606********2061</t>
  </si>
  <si>
    <t>460031********5622</t>
  </si>
  <si>
    <t>460104********0962</t>
  </si>
  <si>
    <t>460036********4129</t>
  </si>
  <si>
    <t>460003********5840</t>
  </si>
  <si>
    <t>460034********4128</t>
  </si>
  <si>
    <t>460028********6825</t>
  </si>
  <si>
    <t>460026********4526</t>
  </si>
  <si>
    <t>460004********4822</t>
  </si>
  <si>
    <t>460102********2724</t>
  </si>
  <si>
    <t>460003********2218</t>
  </si>
  <si>
    <t>460003********8116</t>
  </si>
  <si>
    <t>612401********0346</t>
  </si>
  <si>
    <t>460002********3817</t>
  </si>
  <si>
    <t>460036********3512</t>
  </si>
  <si>
    <t>460026********3066</t>
  </si>
  <si>
    <t>460103********1820</t>
  </si>
  <si>
    <t>460007********7621</t>
  </si>
  <si>
    <t>460004********5311</t>
  </si>
  <si>
    <t>210881********1991</t>
  </si>
  <si>
    <t>512926********4028</t>
  </si>
  <si>
    <t>460102********1815</t>
  </si>
  <si>
    <t>460028********646X</t>
  </si>
  <si>
    <t>460004********4412</t>
  </si>
  <si>
    <t>460036********0029</t>
  </si>
  <si>
    <t>460004********0025</t>
  </si>
  <si>
    <t>460028********0021</t>
  </si>
  <si>
    <t>460034********1241</t>
  </si>
  <si>
    <t>460027********2929</t>
  </si>
  <si>
    <t>350521********7526</t>
  </si>
  <si>
    <t>511623********6505</t>
  </si>
  <si>
    <t>460003********6665</t>
  </si>
  <si>
    <t>460006********8413</t>
  </si>
  <si>
    <t>460004********5221</t>
  </si>
  <si>
    <t>460003********6423</t>
  </si>
  <si>
    <t>460004********3665</t>
  </si>
  <si>
    <t>460006********7216</t>
  </si>
  <si>
    <t>469023********4112</t>
  </si>
  <si>
    <t>460025********2751</t>
  </si>
  <si>
    <t>469025********451X</t>
  </si>
  <si>
    <t>460027********1718</t>
  </si>
  <si>
    <t>460033********3264</t>
  </si>
  <si>
    <t>460028********3622</t>
  </si>
  <si>
    <t>469023********292X</t>
  </si>
  <si>
    <t>460003********3819</t>
  </si>
  <si>
    <t>460003********7627</t>
  </si>
  <si>
    <t>360725********2022</t>
  </si>
  <si>
    <t>460028********6055</t>
  </si>
  <si>
    <t>460033********7161</t>
  </si>
  <si>
    <t>460005********0024</t>
  </si>
  <si>
    <t>460003********0425</t>
  </si>
  <si>
    <t>530324********0523</t>
  </si>
  <si>
    <t>460027********0620</t>
  </si>
  <si>
    <t>460006********2917</t>
  </si>
  <si>
    <t>460004********0842</t>
  </si>
  <si>
    <t>460028********2838</t>
  </si>
  <si>
    <t>460027********4414</t>
  </si>
  <si>
    <t>622901********0517</t>
  </si>
  <si>
    <t>460027********1326</t>
  </si>
  <si>
    <t>460036********0045</t>
  </si>
  <si>
    <t>520103********3244</t>
  </si>
  <si>
    <t>460033********5086</t>
  </si>
  <si>
    <t>230811********1617</t>
  </si>
  <si>
    <t>460200********0525</t>
  </si>
  <si>
    <t>460006********162X</t>
  </si>
  <si>
    <t>460027********1720</t>
  </si>
  <si>
    <t>460007********0865</t>
  </si>
  <si>
    <t>460103********1222</t>
  </si>
  <si>
    <t>460003********2759</t>
  </si>
  <si>
    <t>622201********1528</t>
  </si>
  <si>
    <t>231003********3527</t>
  </si>
  <si>
    <t>460022********1283</t>
  </si>
  <si>
    <t>460028********1242</t>
  </si>
  <si>
    <t>460025********0316</t>
  </si>
  <si>
    <t>469023********0408</t>
  </si>
  <si>
    <t>469007********4967</t>
  </si>
  <si>
    <t>460004********3629</t>
  </si>
  <si>
    <t>360429********1513</t>
  </si>
  <si>
    <t>612722********4906</t>
  </si>
  <si>
    <t>460026********0048</t>
  </si>
  <si>
    <t>460003********2834</t>
  </si>
  <si>
    <t>460034********1536</t>
  </si>
  <si>
    <t>469003********2227</t>
  </si>
  <si>
    <t>108_澄迈县综治信息中心-群众接待工作平台管理岗</t>
  </si>
  <si>
    <t>231084********001X</t>
  </si>
  <si>
    <t>460035********2524</t>
  </si>
  <si>
    <t>460004********5810</t>
  </si>
  <si>
    <t>460102********1515</t>
  </si>
  <si>
    <t>460004********4062</t>
  </si>
  <si>
    <t>460027********5923</t>
  </si>
  <si>
    <t>460028********3240</t>
  </si>
  <si>
    <t>460006********6511</t>
  </si>
  <si>
    <t>460003********2042</t>
  </si>
  <si>
    <t>640202********101X</t>
  </si>
  <si>
    <t>460025********2121</t>
  </si>
  <si>
    <t>460003********2236</t>
  </si>
  <si>
    <t>411327********1110</t>
  </si>
  <si>
    <t>469023********0022</t>
  </si>
  <si>
    <t>460033********4503</t>
  </si>
  <si>
    <t>460025********3919</t>
  </si>
  <si>
    <t>460300********0615</t>
  </si>
  <si>
    <t>460003********7416</t>
  </si>
  <si>
    <t>460003********4232</t>
  </si>
  <si>
    <t>460103********2715</t>
  </si>
  <si>
    <t>460006********2319</t>
  </si>
  <si>
    <t>460102********0011</t>
  </si>
  <si>
    <t>460006********1637</t>
  </si>
  <si>
    <t>460027********0403</t>
  </si>
  <si>
    <t>460034********0012</t>
  </si>
  <si>
    <t>460033********5376</t>
  </si>
  <si>
    <t>460027********0438</t>
  </si>
  <si>
    <t>460027********204X</t>
  </si>
  <si>
    <t>460034********5821</t>
  </si>
  <si>
    <t>460033********4482</t>
  </si>
  <si>
    <t>460003********4627</t>
  </si>
  <si>
    <t>460003********5624</t>
  </si>
  <si>
    <t>460028********3617</t>
  </si>
  <si>
    <t>440802********1927</t>
  </si>
  <si>
    <t>460200********1394</t>
  </si>
  <si>
    <t>340826********7057</t>
  </si>
  <si>
    <t>460003********3060</t>
  </si>
  <si>
    <t>460022********2511</t>
  </si>
  <si>
    <t>460027********1359</t>
  </si>
  <si>
    <t>460035********271X</t>
  </si>
  <si>
    <t>460102********1241</t>
  </si>
  <si>
    <t>460200********1665</t>
  </si>
  <si>
    <t>460022********1027</t>
  </si>
  <si>
    <t>460028********0020</t>
  </si>
  <si>
    <t>460026********4520</t>
  </si>
  <si>
    <t>522622********002X</t>
  </si>
  <si>
    <t>460027********0028</t>
  </si>
  <si>
    <t>460004********0013</t>
  </si>
  <si>
    <t>460027********5681</t>
  </si>
  <si>
    <t>460004********0028</t>
  </si>
  <si>
    <t>460007********0423</t>
  </si>
  <si>
    <t>460003********2665</t>
  </si>
  <si>
    <t>460027********6260</t>
  </si>
  <si>
    <t>460027********292X</t>
  </si>
  <si>
    <t>460031********6846</t>
  </si>
  <si>
    <t>610302********2021</t>
  </si>
  <si>
    <t>460027********0026</t>
  </si>
  <si>
    <t>460027********5611</t>
  </si>
  <si>
    <t>460022********0712</t>
  </si>
  <si>
    <t>460006********275X</t>
  </si>
  <si>
    <t>460031********4437</t>
  </si>
  <si>
    <t>460004********301X</t>
  </si>
  <si>
    <t>460004********0012</t>
  </si>
  <si>
    <t>460031********5254</t>
  </si>
  <si>
    <t>460030********6027</t>
  </si>
  <si>
    <t>430321********9043</t>
  </si>
  <si>
    <t>460026********1525</t>
  </si>
  <si>
    <t>460033********4871</t>
  </si>
  <si>
    <t>460007********5813</t>
  </si>
  <si>
    <t>460034********0427</t>
  </si>
  <si>
    <t>460006********7819</t>
  </si>
  <si>
    <t>460028********3229</t>
  </si>
  <si>
    <t>460103********1826</t>
  </si>
  <si>
    <t>460102********1219</t>
  </si>
  <si>
    <t>469023********1345</t>
  </si>
  <si>
    <t>460033********4903</t>
  </si>
  <si>
    <t>460031********5265</t>
  </si>
  <si>
    <t>460036********7525</t>
  </si>
  <si>
    <t>460004********1447</t>
  </si>
  <si>
    <t>460026********3326</t>
  </si>
  <si>
    <t>460006********8416</t>
  </si>
  <si>
    <t>460003********0449</t>
  </si>
  <si>
    <t>460027********6227</t>
  </si>
  <si>
    <t>421023********7918</t>
  </si>
  <si>
    <t>460003********2621</t>
  </si>
  <si>
    <t>460007********4975</t>
  </si>
  <si>
    <t>410482********0586</t>
  </si>
  <si>
    <t>460003********4275</t>
  </si>
  <si>
    <t>460102********1275</t>
  </si>
  <si>
    <t>469024********2020</t>
  </si>
  <si>
    <t>440803********0343</t>
  </si>
  <si>
    <t>460036********0448</t>
  </si>
  <si>
    <t>469003********372X</t>
  </si>
  <si>
    <t>460002********3617</t>
  </si>
  <si>
    <t>460034********4719</t>
  </si>
  <si>
    <t>460005********3723</t>
  </si>
  <si>
    <t>460106********4422</t>
  </si>
  <si>
    <t>440883********2714</t>
  </si>
  <si>
    <t>231102********0028</t>
  </si>
  <si>
    <t>460003********2244</t>
  </si>
  <si>
    <t>460027********5920</t>
  </si>
  <si>
    <t>460006********4019</t>
  </si>
  <si>
    <t>460027********0055</t>
  </si>
  <si>
    <t>460034********582X</t>
  </si>
  <si>
    <t>460027********0621</t>
  </si>
  <si>
    <t>460028********0439</t>
  </si>
  <si>
    <t>460027********5935</t>
  </si>
  <si>
    <t>460003********3280</t>
  </si>
  <si>
    <t>460022********3243</t>
  </si>
  <si>
    <t>460004********0822</t>
  </si>
  <si>
    <t>460025********0019</t>
  </si>
  <si>
    <t>460026********1519</t>
  </si>
  <si>
    <t>460004********5817</t>
  </si>
  <si>
    <t>109_澄迈县综治信息中心-综合研判平台管理岗</t>
  </si>
  <si>
    <t>460104********0939</t>
  </si>
  <si>
    <t>321183********0064</t>
  </si>
  <si>
    <t>460031********0846</t>
  </si>
  <si>
    <t>460028********5268</t>
  </si>
  <si>
    <t>460006********0211</t>
  </si>
  <si>
    <t>460026********0033</t>
  </si>
  <si>
    <t>460103********0061</t>
  </si>
  <si>
    <t>460103********1515</t>
  </si>
  <si>
    <t>460033********3872</t>
  </si>
  <si>
    <t>460027********2963</t>
  </si>
  <si>
    <t>460006********3134</t>
  </si>
  <si>
    <t>469023********0019</t>
  </si>
  <si>
    <t>460104********1212</t>
  </si>
  <si>
    <t>460007********0873</t>
  </si>
  <si>
    <t>460003********702X</t>
  </si>
  <si>
    <t>460022********4117</t>
  </si>
  <si>
    <t>460003********3012</t>
  </si>
  <si>
    <t>460003********6611</t>
  </si>
  <si>
    <t>460003********7419</t>
  </si>
  <si>
    <t>460027********4768</t>
  </si>
  <si>
    <t>460027********0638</t>
  </si>
  <si>
    <t>460104********0915</t>
  </si>
  <si>
    <t>460028********641X</t>
  </si>
  <si>
    <t>460007********0018</t>
  </si>
  <si>
    <t>460200********0512</t>
  </si>
  <si>
    <t>460006********6824</t>
  </si>
  <si>
    <t>460034********0011</t>
  </si>
  <si>
    <t>460034********0053</t>
  </si>
  <si>
    <t>460028********0010</t>
  </si>
  <si>
    <t>460027********0637</t>
  </si>
  <si>
    <t>460003********3015</t>
  </si>
  <si>
    <t>460027********2079</t>
  </si>
  <si>
    <t>460006********4814</t>
  </si>
  <si>
    <t>460004********3410</t>
  </si>
  <si>
    <t>460002********2510</t>
  </si>
  <si>
    <t>460025********0034</t>
  </si>
  <si>
    <t>469023********4162</t>
  </si>
  <si>
    <t>460004********302X</t>
  </si>
  <si>
    <t>460002********3246</t>
  </si>
  <si>
    <t>412728********0550</t>
  </si>
  <si>
    <t>430726********1348</t>
  </si>
  <si>
    <t>460028********0419</t>
  </si>
  <si>
    <t>340502********022X</t>
  </si>
  <si>
    <t>460025********061X</t>
  </si>
  <si>
    <t>460027********6631</t>
  </si>
  <si>
    <t>460003********2046</t>
  </si>
  <si>
    <t>460007********0814</t>
  </si>
  <si>
    <t>460026********0020</t>
  </si>
  <si>
    <t>460027********6229</t>
  </si>
  <si>
    <t>460028********0071</t>
  </si>
  <si>
    <t>460031********6429</t>
  </si>
  <si>
    <t>460003********3031</t>
  </si>
  <si>
    <t>460003********0487</t>
  </si>
  <si>
    <t>460002********0518</t>
  </si>
  <si>
    <t>460003********2039</t>
  </si>
  <si>
    <t>460003********0055</t>
  </si>
  <si>
    <t>460003********7413</t>
  </si>
  <si>
    <t>460004********2211</t>
  </si>
  <si>
    <t>460002********4634</t>
  </si>
  <si>
    <t>460200********5154</t>
  </si>
  <si>
    <t>460027********5661</t>
  </si>
  <si>
    <t>460004********0425</t>
  </si>
  <si>
    <t>460028********5612</t>
  </si>
  <si>
    <t>460027********1013</t>
  </si>
  <si>
    <t>460004********0042</t>
  </si>
  <si>
    <t>460028********6439</t>
  </si>
  <si>
    <t>532225********0036</t>
  </si>
  <si>
    <t>460003********3094</t>
  </si>
  <si>
    <t>460006********163X</t>
  </si>
  <si>
    <t>460027********4718</t>
  </si>
  <si>
    <t>460033********3252</t>
  </si>
  <si>
    <t>460004********0219</t>
  </si>
  <si>
    <t>460104********1214</t>
  </si>
  <si>
    <t>469005********1227</t>
  </si>
  <si>
    <t>460007********7293</t>
  </si>
  <si>
    <t>460003********1815</t>
  </si>
  <si>
    <t>460004********0419</t>
  </si>
  <si>
    <t>460028********7232</t>
  </si>
  <si>
    <t>460003********2085</t>
  </si>
  <si>
    <t>460103********2716</t>
  </si>
  <si>
    <t>460006********0612</t>
  </si>
  <si>
    <t>460103********1529</t>
  </si>
  <si>
    <t>410381********4568</t>
  </si>
  <si>
    <t>460200********0032</t>
  </si>
  <si>
    <t>452124********0017</t>
  </si>
  <si>
    <t>460006********0413</t>
  </si>
  <si>
    <t>460003********6015</t>
  </si>
  <si>
    <t>469023********004X</t>
  </si>
  <si>
    <t>431126********1217</t>
  </si>
  <si>
    <t>469003********4133</t>
  </si>
  <si>
    <t>430406********1518</t>
  </si>
  <si>
    <t>460005********3012</t>
  </si>
  <si>
    <t>460026********1510</t>
  </si>
  <si>
    <t>460031********4815</t>
  </si>
  <si>
    <t>460004********122X</t>
  </si>
  <si>
    <t>460006********4820</t>
  </si>
  <si>
    <t>460003********831X</t>
  </si>
  <si>
    <t>460027********1356</t>
  </si>
  <si>
    <t>460003********3017</t>
  </si>
  <si>
    <t>460006********4490</t>
  </si>
  <si>
    <t>460027********2620</t>
  </si>
  <si>
    <t>460033********3973</t>
  </si>
  <si>
    <t>460034********1816</t>
  </si>
  <si>
    <t>460032********6299</t>
  </si>
  <si>
    <t>460003********0624</t>
  </si>
  <si>
    <t>460200********0272</t>
  </si>
  <si>
    <t>460036********4518</t>
  </si>
  <si>
    <t>460027********6626</t>
  </si>
  <si>
    <t>232303********0856</t>
  </si>
  <si>
    <t>460103********001X</t>
  </si>
  <si>
    <t>460028********6072</t>
  </si>
  <si>
    <t>460036********7223</t>
  </si>
  <si>
    <t>140225********0108</t>
  </si>
  <si>
    <t>460033********0010</t>
  </si>
  <si>
    <t>460003********0222</t>
  </si>
  <si>
    <t>460031********0023</t>
  </si>
  <si>
    <t>460034********0010</t>
  </si>
  <si>
    <t>460026********0013</t>
  </si>
  <si>
    <t>460004********1445</t>
  </si>
  <si>
    <t>362228********0012</t>
  </si>
  <si>
    <t>460028********6441</t>
  </si>
  <si>
    <t>230709********0342</t>
  </si>
  <si>
    <t>460006********6846</t>
  </si>
  <si>
    <t>460006********271X</t>
  </si>
  <si>
    <t>460003********5014</t>
  </si>
  <si>
    <t>460027********4793</t>
  </si>
  <si>
    <t>460030********6319</t>
  </si>
  <si>
    <t>460005********4130</t>
  </si>
  <si>
    <t>460031********0856</t>
  </si>
  <si>
    <t>460027********821X</t>
  </si>
  <si>
    <t>460027********0402</t>
  </si>
  <si>
    <t>460005********4112</t>
  </si>
  <si>
    <t>469023********1354</t>
  </si>
  <si>
    <t>460007********725X</t>
  </si>
  <si>
    <t>460022********191X</t>
  </si>
  <si>
    <t>460028********6819</t>
  </si>
  <si>
    <t>460103********2725</t>
  </si>
  <si>
    <t>460033********3255</t>
  </si>
  <si>
    <t>460006********0028</t>
  </si>
  <si>
    <t>460026********0016</t>
  </si>
  <si>
    <t>460102********0317</t>
  </si>
  <si>
    <t>460103********2720</t>
  </si>
  <si>
    <t>460032********7635</t>
  </si>
  <si>
    <t>460033********0013</t>
  </si>
  <si>
    <t>460103********0320</t>
  </si>
  <si>
    <t>460033********3269</t>
  </si>
  <si>
    <t>460027********2930</t>
  </si>
  <si>
    <t>469003********7027</t>
  </si>
  <si>
    <t>469024********2015</t>
  </si>
  <si>
    <t>460033********4497</t>
  </si>
  <si>
    <t>342224********0089</t>
  </si>
  <si>
    <t>460026********0012</t>
  </si>
  <si>
    <t>460004********581X</t>
  </si>
  <si>
    <t>460030********6328</t>
  </si>
  <si>
    <t>460002********3222</t>
  </si>
  <si>
    <t>460006********4413</t>
  </si>
  <si>
    <t>460007********0851</t>
  </si>
  <si>
    <t>460027********0034</t>
  </si>
  <si>
    <t>460027********7933</t>
  </si>
  <si>
    <t>460025********0053</t>
  </si>
  <si>
    <t>460006********481X</t>
  </si>
  <si>
    <t>460028********3633</t>
  </si>
  <si>
    <t>460004********0030</t>
  </si>
  <si>
    <t>460007********0020</t>
  </si>
  <si>
    <t>460007********5858</t>
  </si>
  <si>
    <t>460007********0826</t>
  </si>
  <si>
    <t>460027********8214</t>
  </si>
  <si>
    <t>460004********0825</t>
  </si>
  <si>
    <t>460028********2496</t>
  </si>
  <si>
    <t>460103********2726</t>
  </si>
  <si>
    <t>460027********1712</t>
  </si>
  <si>
    <t>460028********122X</t>
  </si>
  <si>
    <t>460036********0032</t>
  </si>
  <si>
    <t>370902********0019</t>
  </si>
  <si>
    <t>460003********3453</t>
  </si>
  <si>
    <t>460103********0918</t>
  </si>
  <si>
    <t>460006********2335</t>
  </si>
  <si>
    <t>320826********0158</t>
  </si>
  <si>
    <t>460027********4728</t>
  </si>
  <si>
    <t>460200********1871</t>
  </si>
  <si>
    <t>460107********264X</t>
  </si>
  <si>
    <t>152201********2512</t>
  </si>
  <si>
    <t>460007********4968</t>
  </si>
  <si>
    <t>469003********2756</t>
  </si>
  <si>
    <t>460027********3759</t>
  </si>
  <si>
    <t>460028********0042</t>
  </si>
  <si>
    <t>460007********0839</t>
  </si>
  <si>
    <t>469023********1324</t>
  </si>
  <si>
    <t>460027********7359</t>
  </si>
  <si>
    <t>460003********0219</t>
  </si>
  <si>
    <t>460027********2074</t>
  </si>
  <si>
    <t>469003********2237</t>
  </si>
  <si>
    <t>460004********3413</t>
  </si>
  <si>
    <t>460027********4111</t>
  </si>
  <si>
    <t>460003********663X</t>
  </si>
  <si>
    <t>460003********0610</t>
  </si>
  <si>
    <t>460036********3521</t>
  </si>
  <si>
    <t>460003********3284</t>
  </si>
  <si>
    <t>460007********765X</t>
  </si>
  <si>
    <t>460027********7313</t>
  </si>
  <si>
    <t>460031********521X</t>
  </si>
  <si>
    <t>460036********7511</t>
  </si>
  <si>
    <t>460002********3815</t>
  </si>
  <si>
    <t>460007********5768</t>
  </si>
  <si>
    <t>469023********1315</t>
  </si>
  <si>
    <t>469007********337X</t>
  </si>
  <si>
    <t>460027********2086</t>
  </si>
  <si>
    <t>231102********0616</t>
  </si>
  <si>
    <t>460004********1240</t>
  </si>
  <si>
    <t>469023********001X</t>
  </si>
  <si>
    <t>460001********1018</t>
  </si>
  <si>
    <t>460033********4921</t>
  </si>
  <si>
    <t>460028********5617</t>
  </si>
  <si>
    <t>410702********0524</t>
  </si>
  <si>
    <t>460003********2905</t>
  </si>
  <si>
    <t>110_澄迈县环境保护监测站-专业技术岗位</t>
  </si>
  <si>
    <t>460003********2865</t>
  </si>
  <si>
    <t>460006********4823</t>
  </si>
  <si>
    <t>460102********2427</t>
  </si>
  <si>
    <t>460032********0812</t>
  </si>
  <si>
    <t>460104********0918</t>
  </si>
  <si>
    <t>460033********4846</t>
  </si>
  <si>
    <t>460034********0028</t>
  </si>
  <si>
    <t>460002********4636</t>
  </si>
  <si>
    <t>460007********4967</t>
  </si>
  <si>
    <t>460027********2063</t>
  </si>
  <si>
    <t>460003********2220</t>
  </si>
  <si>
    <t>469002********0511</t>
  </si>
  <si>
    <t>460003********5423</t>
  </si>
  <si>
    <t>460002********1528</t>
  </si>
  <si>
    <t>460027********4712</t>
  </si>
  <si>
    <t>460036********2466</t>
  </si>
  <si>
    <t>460026********3929</t>
  </si>
  <si>
    <t>460004********521X</t>
  </si>
  <si>
    <t>460004********4626</t>
  </si>
  <si>
    <t>460103********0011</t>
  </si>
  <si>
    <t>460027********2986</t>
  </si>
  <si>
    <t>460007********0430</t>
  </si>
  <si>
    <t>460003********2810</t>
  </si>
  <si>
    <t>460004********6418</t>
  </si>
  <si>
    <t>469007********4964</t>
  </si>
  <si>
    <t>460003********3086</t>
  </si>
  <si>
    <t>460102********1817</t>
  </si>
  <si>
    <t>460002********3613</t>
  </si>
  <si>
    <t>460003********4410</t>
  </si>
  <si>
    <t>460003********2435</t>
  </si>
  <si>
    <t>460006********7518</t>
  </si>
  <si>
    <t>460006********235X</t>
  </si>
  <si>
    <t>460027********1315</t>
  </si>
  <si>
    <t>460028********0894</t>
  </si>
  <si>
    <t>469024********4414</t>
  </si>
  <si>
    <t>460026********2426</t>
  </si>
  <si>
    <t>460002********4129</t>
  </si>
  <si>
    <t>460003********7836</t>
  </si>
  <si>
    <t>460007********7250</t>
  </si>
  <si>
    <t>460007********7267</t>
  </si>
  <si>
    <t>460027********2028</t>
  </si>
  <si>
    <t>460003********4021</t>
  </si>
  <si>
    <t>460103********1217</t>
  </si>
  <si>
    <t>460102********1819</t>
  </si>
  <si>
    <t>460031********0825</t>
  </si>
  <si>
    <t>460007********4986</t>
  </si>
  <si>
    <t>411321********2925</t>
  </si>
  <si>
    <t>460025********2119</t>
  </si>
  <si>
    <t>460003********5428</t>
  </si>
  <si>
    <t>460200********336X</t>
  </si>
  <si>
    <t>469003********5623</t>
  </si>
  <si>
    <t>370826********5128</t>
  </si>
  <si>
    <t>460033********0687</t>
  </si>
  <si>
    <t>430523********1523</t>
  </si>
  <si>
    <t>460104********0342</t>
  </si>
  <si>
    <t>460028********1216</t>
  </si>
  <si>
    <t>460200********0029</t>
  </si>
  <si>
    <t>469023********0620</t>
  </si>
  <si>
    <t>460027********4448</t>
  </si>
  <si>
    <t>460035********2327</t>
  </si>
  <si>
    <t>460026********0918</t>
  </si>
  <si>
    <t>452129********1221</t>
  </si>
  <si>
    <t>460027********2915</t>
  </si>
  <si>
    <t>460007********6167</t>
  </si>
  <si>
    <t>460102********0086</t>
  </si>
  <si>
    <t>460103********0036</t>
  </si>
  <si>
    <t>460003********342X</t>
  </si>
  <si>
    <t>460002********1521</t>
  </si>
  <si>
    <t>460103********1827</t>
  </si>
  <si>
    <t>460200********1198</t>
  </si>
  <si>
    <t>460030********0015</t>
  </si>
  <si>
    <t>460027********5929</t>
  </si>
  <si>
    <t>460033********1781</t>
  </si>
  <si>
    <t>460027********2941</t>
  </si>
  <si>
    <t>654001********4516</t>
  </si>
  <si>
    <t>460006********3743</t>
  </si>
  <si>
    <t>460027********1333</t>
  </si>
  <si>
    <t>460003********6619</t>
  </si>
  <si>
    <t>460034********0929</t>
  </si>
  <si>
    <t>460025********4213</t>
  </si>
  <si>
    <t>460027********6247</t>
  </si>
  <si>
    <t>460003********0617</t>
  </si>
  <si>
    <t>441422********5325</t>
  </si>
  <si>
    <t>460032********7681</t>
  </si>
  <si>
    <t>460004********2043</t>
  </si>
  <si>
    <t>460027********6259</t>
  </si>
  <si>
    <t>460025********4520</t>
  </si>
  <si>
    <t>460031********5230</t>
  </si>
  <si>
    <t>460104********1222</t>
  </si>
  <si>
    <t>460027********1016</t>
  </si>
  <si>
    <t>460027********731X</t>
  </si>
  <si>
    <t>460033********4507</t>
  </si>
  <si>
    <t>460033********0903</t>
  </si>
  <si>
    <t>460103********3027</t>
  </si>
  <si>
    <t>460028********042X</t>
  </si>
  <si>
    <t>469003********2412</t>
  </si>
  <si>
    <t>460006********2318</t>
  </si>
  <si>
    <t>460028********6065</t>
  </si>
  <si>
    <t>460022********0527</t>
  </si>
  <si>
    <t>460003********3025</t>
  </si>
  <si>
    <t>431023********5812</t>
  </si>
  <si>
    <t>460104********0027</t>
  </si>
  <si>
    <t>445121********397X</t>
  </si>
  <si>
    <t>460027********1313</t>
  </si>
  <si>
    <t>460027********5329</t>
  </si>
  <si>
    <t>460027********132X</t>
  </si>
  <si>
    <t>460034********1210</t>
  </si>
  <si>
    <t>469025********4518</t>
  </si>
  <si>
    <t>469023********8220</t>
  </si>
  <si>
    <t>460004********0618</t>
  </si>
  <si>
    <t>460027********4117</t>
  </si>
  <si>
    <t>460103********3321</t>
  </si>
  <si>
    <t>111_澄迈县加笼坪林区事务服务中心-管理岗</t>
  </si>
  <si>
    <t>452731********1843</t>
  </si>
  <si>
    <t>460006********4822</t>
  </si>
  <si>
    <t>460003********3829</t>
  </si>
  <si>
    <t>460034********1541</t>
  </si>
  <si>
    <t>460003********0619</t>
  </si>
  <si>
    <t>460004********2020</t>
  </si>
  <si>
    <t>460003********6618</t>
  </si>
  <si>
    <t>440825********0750</t>
  </si>
  <si>
    <t>460006********5221</t>
  </si>
  <si>
    <t>460027********6214</t>
  </si>
  <si>
    <t>460006********4023</t>
  </si>
  <si>
    <t>422802********3959</t>
  </si>
  <si>
    <t>460004********0879</t>
  </si>
  <si>
    <t>460028********0831</t>
  </si>
  <si>
    <t>460026********2418</t>
  </si>
  <si>
    <t>460026********2126</t>
  </si>
  <si>
    <t>460002********3220</t>
  </si>
  <si>
    <t>460007********0412</t>
  </si>
  <si>
    <t>211381********5219</t>
  </si>
  <si>
    <t>460034********411X</t>
  </si>
  <si>
    <t>469007********4961</t>
  </si>
  <si>
    <t>460003********4277</t>
  </si>
  <si>
    <t>460027********7021</t>
  </si>
  <si>
    <t>460003********387X</t>
  </si>
  <si>
    <t>469024********6027</t>
  </si>
  <si>
    <t>460003********3024</t>
  </si>
  <si>
    <t>460025********0027</t>
  </si>
  <si>
    <t>460102********1811</t>
  </si>
  <si>
    <t>460003********3080</t>
  </si>
  <si>
    <t>460028********2861</t>
  </si>
  <si>
    <t>460036********0058</t>
  </si>
  <si>
    <t>460007********044X</t>
  </si>
  <si>
    <t>460004********0426</t>
  </si>
  <si>
    <t>460004********4227</t>
  </si>
  <si>
    <t>460003********2613</t>
  </si>
  <si>
    <t>460032********4372</t>
  </si>
  <si>
    <t>460026********3922</t>
  </si>
  <si>
    <t>460001********0780</t>
  </si>
  <si>
    <t>460003********2425</t>
  </si>
  <si>
    <t>460001********1028</t>
  </si>
  <si>
    <t>460004********3825</t>
  </si>
  <si>
    <t>460033********3267</t>
  </si>
  <si>
    <t>460102********2418</t>
  </si>
  <si>
    <t>460001********0723</t>
  </si>
  <si>
    <t>112_澄迈县加笼坪林区事务服务中心-技术岗</t>
  </si>
  <si>
    <t>460103********0325</t>
  </si>
  <si>
    <t>460025********2410</t>
  </si>
  <si>
    <t>460034********0413</t>
  </si>
  <si>
    <t>460004********5019</t>
  </si>
  <si>
    <t>230605********0224</t>
  </si>
  <si>
    <t>460102********1215</t>
  </si>
  <si>
    <t>460027********1719</t>
  </si>
  <si>
    <t>460028********6035</t>
  </si>
  <si>
    <t>460106********3423</t>
  </si>
  <si>
    <t>460004********4026</t>
  </si>
  <si>
    <t>460026********3027</t>
  </si>
  <si>
    <t>410523********0012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</si>
</sst>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35"/>
  <sheetViews>
    <sheetView tabSelected="1" workbookViewId="0" topLeftCell="A1">
      <selection activeCell="B4" sqref="B4"/>
    </sheetView>
  </sheetViews>
  <sheetFormatPr defaultColWidth="9.00390625" defaultRowHeight="15"/>
  <cols>
    <col min="1" max="1" width="26.00390625" style="0" customWidth="1"/>
    <col min="2" max="2" width="67.7109375" style="0" customWidth="1"/>
    <col min="3" max="3" width="19.140625" style="0" customWidth="1"/>
    <col min="4" max="4" width="22.140625" style="0" customWidth="1"/>
    <col min="5" max="5" width="16.7109375" style="0" customWidth="1"/>
  </cols>
  <sheetData>
    <row r="1" spans="1:4" ht="37.5" customHeight="1">
      <c r="A1" s="1" t="s">
        <v>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4.75" customHeight="1">
      <c r="A3" s="3" t="str">
        <f>"34892021110420145743937"</f>
        <v>34892021110420145743937</v>
      </c>
      <c r="B3" s="3" t="s">
        <v>5</v>
      </c>
      <c r="C3" s="3" t="str">
        <f>"田小芳"</f>
        <v>田小芳</v>
      </c>
      <c r="D3" s="3" t="s">
        <v>6</v>
      </c>
    </row>
    <row r="4" spans="1:4" ht="24.75" customHeight="1">
      <c r="A4" s="3" t="str">
        <f>"34892021110909263848849"</f>
        <v>34892021110909263848849</v>
      </c>
      <c r="B4" s="3" t="s">
        <v>5</v>
      </c>
      <c r="C4" s="3" t="str">
        <f>"蔡亲尚"</f>
        <v>蔡亲尚</v>
      </c>
      <c r="D4" s="3" t="s">
        <v>7</v>
      </c>
    </row>
    <row r="5" spans="1:4" ht="24.75" customHeight="1">
      <c r="A5" s="3" t="str">
        <f>"34892021110610535646148"</f>
        <v>34892021110610535646148</v>
      </c>
      <c r="B5" s="3" t="s">
        <v>8</v>
      </c>
      <c r="C5" s="3" t="str">
        <f>"吉福桑"</f>
        <v>吉福桑</v>
      </c>
      <c r="D5" s="3" t="s">
        <v>9</v>
      </c>
    </row>
    <row r="6" spans="1:4" ht="24.75" customHeight="1">
      <c r="A6" s="3" t="str">
        <f>"34892021110915300449290"</f>
        <v>34892021110915300449290</v>
      </c>
      <c r="B6" s="3" t="s">
        <v>8</v>
      </c>
      <c r="C6" s="3" t="str">
        <f>"杨天章"</f>
        <v>杨天章</v>
      </c>
      <c r="D6" s="3" t="s">
        <v>10</v>
      </c>
    </row>
    <row r="7" spans="1:4" ht="24.75" customHeight="1">
      <c r="A7" s="3" t="str">
        <f>"34892021110312111839067"</f>
        <v>34892021110312111839067</v>
      </c>
      <c r="B7" s="3" t="s">
        <v>11</v>
      </c>
      <c r="C7" s="3" t="str">
        <f>"赵婧"</f>
        <v>赵婧</v>
      </c>
      <c r="D7" s="3" t="s">
        <v>12</v>
      </c>
    </row>
    <row r="8" spans="1:4" ht="24.75" customHeight="1">
      <c r="A8" s="3" t="str">
        <f>"34892021110318261341299"</f>
        <v>34892021110318261341299</v>
      </c>
      <c r="B8" s="3" t="s">
        <v>11</v>
      </c>
      <c r="C8" s="3" t="str">
        <f>"陆建明"</f>
        <v>陆建明</v>
      </c>
      <c r="D8" s="3" t="s">
        <v>13</v>
      </c>
    </row>
    <row r="9" spans="1:4" ht="24.75" customHeight="1">
      <c r="A9" s="3" t="str">
        <f>"34892021110321124141752"</f>
        <v>34892021110321124141752</v>
      </c>
      <c r="B9" s="3" t="s">
        <v>11</v>
      </c>
      <c r="C9" s="3" t="str">
        <f>"梁其干"</f>
        <v>梁其干</v>
      </c>
      <c r="D9" s="3" t="s">
        <v>14</v>
      </c>
    </row>
    <row r="10" spans="1:4" ht="24.75" customHeight="1">
      <c r="A10" s="3" t="str">
        <f>"34892021110415491943390"</f>
        <v>34892021110415491943390</v>
      </c>
      <c r="B10" s="3" t="s">
        <v>11</v>
      </c>
      <c r="C10" s="3" t="str">
        <f>"汪玉玲"</f>
        <v>汪玉玲</v>
      </c>
      <c r="D10" s="3" t="s">
        <v>15</v>
      </c>
    </row>
    <row r="11" spans="1:4" ht="24.75" customHeight="1">
      <c r="A11" s="3" t="str">
        <f>"34892021110515420445477"</f>
        <v>34892021110515420445477</v>
      </c>
      <c r="B11" s="3" t="s">
        <v>11</v>
      </c>
      <c r="C11" s="3" t="str">
        <f>"符小文"</f>
        <v>符小文</v>
      </c>
      <c r="D11" s="3" t="s">
        <v>16</v>
      </c>
    </row>
    <row r="12" spans="1:4" ht="24.75" customHeight="1">
      <c r="A12" s="3" t="str">
        <f>"34892021110720425747100"</f>
        <v>34892021110720425747100</v>
      </c>
      <c r="B12" s="3" t="s">
        <v>11</v>
      </c>
      <c r="C12" s="3" t="str">
        <f>"钟信念"</f>
        <v>钟信念</v>
      </c>
      <c r="D12" s="3" t="s">
        <v>17</v>
      </c>
    </row>
    <row r="13" spans="1:4" ht="24.75" customHeight="1">
      <c r="A13" s="3" t="str">
        <f>"34892021110311320938825"</f>
        <v>34892021110311320938825</v>
      </c>
      <c r="B13" s="3" t="s">
        <v>18</v>
      </c>
      <c r="C13" s="3" t="str">
        <f>"钟昌柏"</f>
        <v>钟昌柏</v>
      </c>
      <c r="D13" s="3" t="s">
        <v>19</v>
      </c>
    </row>
    <row r="14" spans="1:4" ht="24.75" customHeight="1">
      <c r="A14" s="3" t="str">
        <f>"34892021110515475945505"</f>
        <v>34892021110515475945505</v>
      </c>
      <c r="B14" s="3" t="s">
        <v>18</v>
      </c>
      <c r="C14" s="3" t="str">
        <f>"王锋堂"</f>
        <v>王锋堂</v>
      </c>
      <c r="D14" s="3" t="s">
        <v>20</v>
      </c>
    </row>
    <row r="15" spans="1:4" ht="24.75" customHeight="1">
      <c r="A15" s="3" t="str">
        <f>"34892021110819251648211"</f>
        <v>34892021110819251648211</v>
      </c>
      <c r="B15" s="3" t="s">
        <v>18</v>
      </c>
      <c r="C15" s="3" t="str">
        <f>"张小短"</f>
        <v>张小短</v>
      </c>
      <c r="D15" s="3" t="s">
        <v>21</v>
      </c>
    </row>
    <row r="16" spans="1:4" ht="24.75" customHeight="1">
      <c r="A16" s="3" t="str">
        <f>"34892021110915142349264"</f>
        <v>34892021110915142349264</v>
      </c>
      <c r="B16" s="3" t="s">
        <v>18</v>
      </c>
      <c r="C16" s="3" t="str">
        <f>"林玉"</f>
        <v>林玉</v>
      </c>
      <c r="D16" s="3" t="s">
        <v>22</v>
      </c>
    </row>
    <row r="17" spans="1:4" ht="24.75" customHeight="1">
      <c r="A17" s="3" t="str">
        <f>"34892021110309015437465"</f>
        <v>34892021110309015437465</v>
      </c>
      <c r="B17" s="3" t="s">
        <v>23</v>
      </c>
      <c r="C17" s="3" t="str">
        <f>"任太军"</f>
        <v>任太军</v>
      </c>
      <c r="D17" s="3" t="s">
        <v>24</v>
      </c>
    </row>
    <row r="18" spans="1:4" ht="24.75" customHeight="1">
      <c r="A18" s="3" t="str">
        <f>"34892021110309223437675"</f>
        <v>34892021110309223437675</v>
      </c>
      <c r="B18" s="3" t="s">
        <v>23</v>
      </c>
      <c r="C18" s="3" t="str">
        <f>"林运萍"</f>
        <v>林运萍</v>
      </c>
      <c r="D18" s="3" t="s">
        <v>25</v>
      </c>
    </row>
    <row r="19" spans="1:4" ht="24.75" customHeight="1">
      <c r="A19" s="3" t="str">
        <f>"34892021110315103840212"</f>
        <v>34892021110315103840212</v>
      </c>
      <c r="B19" s="3" t="s">
        <v>23</v>
      </c>
      <c r="C19" s="3" t="str">
        <f>"许昌珍"</f>
        <v>许昌珍</v>
      </c>
      <c r="D19" s="3" t="s">
        <v>26</v>
      </c>
    </row>
    <row r="20" spans="1:4" ht="24.75" customHeight="1">
      <c r="A20" s="3" t="str">
        <f>"34892021110321285241804"</f>
        <v>34892021110321285241804</v>
      </c>
      <c r="B20" s="3" t="s">
        <v>23</v>
      </c>
      <c r="C20" s="3" t="str">
        <f>"梁峻玮"</f>
        <v>梁峻玮</v>
      </c>
      <c r="D20" s="3" t="s">
        <v>27</v>
      </c>
    </row>
    <row r="21" spans="1:4" ht="24.75" customHeight="1">
      <c r="A21" s="3" t="str">
        <f>"34892021110507451244393"</f>
        <v>34892021110507451244393</v>
      </c>
      <c r="B21" s="3" t="s">
        <v>23</v>
      </c>
      <c r="C21" s="3" t="str">
        <f>"李少卡"</f>
        <v>李少卡</v>
      </c>
      <c r="D21" s="3" t="s">
        <v>28</v>
      </c>
    </row>
    <row r="22" spans="1:4" ht="24.75" customHeight="1">
      <c r="A22" s="3" t="str">
        <f>"34892021110509332844595"</f>
        <v>34892021110509332844595</v>
      </c>
      <c r="B22" s="3" t="s">
        <v>23</v>
      </c>
      <c r="C22" s="3" t="str">
        <f>"邢增珠"</f>
        <v>邢增珠</v>
      </c>
      <c r="D22" s="3" t="s">
        <v>29</v>
      </c>
    </row>
    <row r="23" spans="1:4" ht="24.75" customHeight="1">
      <c r="A23" s="3" t="str">
        <f>"34892021110609493646105"</f>
        <v>34892021110609493646105</v>
      </c>
      <c r="B23" s="3" t="s">
        <v>23</v>
      </c>
      <c r="C23" s="3" t="str">
        <f>"卢塘飞"</f>
        <v>卢塘飞</v>
      </c>
      <c r="D23" s="3" t="s">
        <v>30</v>
      </c>
    </row>
    <row r="24" spans="1:4" ht="24.75" customHeight="1">
      <c r="A24" s="3" t="str">
        <f>"34892021110710422546743"</f>
        <v>34892021110710422546743</v>
      </c>
      <c r="B24" s="3" t="s">
        <v>23</v>
      </c>
      <c r="C24" s="3" t="str">
        <f>"林小漫"</f>
        <v>林小漫</v>
      </c>
      <c r="D24" s="3" t="s">
        <v>31</v>
      </c>
    </row>
    <row r="25" spans="1:4" ht="24.75" customHeight="1">
      <c r="A25" s="3" t="str">
        <f>"34892021110722344047195"</f>
        <v>34892021110722344047195</v>
      </c>
      <c r="B25" s="3" t="s">
        <v>23</v>
      </c>
      <c r="C25" s="3" t="str">
        <f>"李庆"</f>
        <v>李庆</v>
      </c>
      <c r="D25" s="3" t="s">
        <v>32</v>
      </c>
    </row>
    <row r="26" spans="1:4" ht="24.75" customHeight="1">
      <c r="A26" s="3" t="str">
        <f>"34892021110309003537447"</f>
        <v>34892021110309003537447</v>
      </c>
      <c r="B26" s="3" t="s">
        <v>33</v>
      </c>
      <c r="C26" s="3" t="str">
        <f>"丁子芹"</f>
        <v>丁子芹</v>
      </c>
      <c r="D26" s="3" t="s">
        <v>34</v>
      </c>
    </row>
    <row r="27" spans="1:4" ht="24.75" customHeight="1">
      <c r="A27" s="3" t="str">
        <f>"34892021110309013437460"</f>
        <v>34892021110309013437460</v>
      </c>
      <c r="B27" s="3" t="s">
        <v>33</v>
      </c>
      <c r="C27" s="3" t="str">
        <f>"曾莹"</f>
        <v>曾莹</v>
      </c>
      <c r="D27" s="3" t="s">
        <v>35</v>
      </c>
    </row>
    <row r="28" spans="1:4" ht="24.75" customHeight="1">
      <c r="A28" s="3" t="str">
        <f>"34892021110309045637505"</f>
        <v>34892021110309045637505</v>
      </c>
      <c r="B28" s="3" t="s">
        <v>33</v>
      </c>
      <c r="C28" s="3" t="str">
        <f>"符秀玲"</f>
        <v>符秀玲</v>
      </c>
      <c r="D28" s="3" t="s">
        <v>36</v>
      </c>
    </row>
    <row r="29" spans="1:4" ht="24.75" customHeight="1">
      <c r="A29" s="3" t="str">
        <f>"34892021110309061537522"</f>
        <v>34892021110309061537522</v>
      </c>
      <c r="B29" s="3" t="s">
        <v>33</v>
      </c>
      <c r="C29" s="3" t="str">
        <f>"张世志"</f>
        <v>张世志</v>
      </c>
      <c r="D29" s="3" t="s">
        <v>37</v>
      </c>
    </row>
    <row r="30" spans="1:4" ht="24.75" customHeight="1">
      <c r="A30" s="3" t="str">
        <f>"34892021110309074037539"</f>
        <v>34892021110309074037539</v>
      </c>
      <c r="B30" s="3" t="s">
        <v>33</v>
      </c>
      <c r="C30" s="3" t="str">
        <f>"曾巧凌"</f>
        <v>曾巧凌</v>
      </c>
      <c r="D30" s="3" t="s">
        <v>38</v>
      </c>
    </row>
    <row r="31" spans="1:4" ht="24.75" customHeight="1">
      <c r="A31" s="3" t="str">
        <f>"34892021110309095937554"</f>
        <v>34892021110309095937554</v>
      </c>
      <c r="B31" s="3" t="s">
        <v>33</v>
      </c>
      <c r="C31" s="3" t="str">
        <f>"王宏谊"</f>
        <v>王宏谊</v>
      </c>
      <c r="D31" s="3" t="s">
        <v>39</v>
      </c>
    </row>
    <row r="32" spans="1:4" ht="24.75" customHeight="1">
      <c r="A32" s="3" t="str">
        <f>"34892021110309113837570"</f>
        <v>34892021110309113837570</v>
      </c>
      <c r="B32" s="3" t="s">
        <v>33</v>
      </c>
      <c r="C32" s="3" t="str">
        <f>"邓严峻"</f>
        <v>邓严峻</v>
      </c>
      <c r="D32" s="3" t="s">
        <v>40</v>
      </c>
    </row>
    <row r="33" spans="1:4" ht="24.75" customHeight="1">
      <c r="A33" s="3" t="str">
        <f>"34892021110309115337574"</f>
        <v>34892021110309115337574</v>
      </c>
      <c r="B33" s="3" t="s">
        <v>33</v>
      </c>
      <c r="C33" s="3" t="str">
        <f>"杨易"</f>
        <v>杨易</v>
      </c>
      <c r="D33" s="3" t="s">
        <v>41</v>
      </c>
    </row>
    <row r="34" spans="1:4" ht="24.75" customHeight="1">
      <c r="A34" s="3" t="str">
        <f>"34892021110309160737612"</f>
        <v>34892021110309160737612</v>
      </c>
      <c r="B34" s="3" t="s">
        <v>33</v>
      </c>
      <c r="C34" s="3" t="str">
        <f>"聂建强"</f>
        <v>聂建强</v>
      </c>
      <c r="D34" s="3" t="s">
        <v>42</v>
      </c>
    </row>
    <row r="35" spans="1:4" ht="24.75" customHeight="1">
      <c r="A35" s="3" t="str">
        <f>"34892021110309170937620"</f>
        <v>34892021110309170937620</v>
      </c>
      <c r="B35" s="3" t="s">
        <v>33</v>
      </c>
      <c r="C35" s="3" t="str">
        <f>"万佳华"</f>
        <v>万佳华</v>
      </c>
      <c r="D35" s="3" t="s">
        <v>43</v>
      </c>
    </row>
    <row r="36" spans="1:4" ht="24.75" customHeight="1">
      <c r="A36" s="3" t="str">
        <f>"34892021110309243637694"</f>
        <v>34892021110309243637694</v>
      </c>
      <c r="B36" s="3" t="s">
        <v>33</v>
      </c>
      <c r="C36" s="3" t="str">
        <f>"李兰云"</f>
        <v>李兰云</v>
      </c>
      <c r="D36" s="3" t="s">
        <v>44</v>
      </c>
    </row>
    <row r="37" spans="1:4" ht="24.75" customHeight="1">
      <c r="A37" s="3" t="str">
        <f>"34892021110309245537698"</f>
        <v>34892021110309245537698</v>
      </c>
      <c r="B37" s="3" t="s">
        <v>33</v>
      </c>
      <c r="C37" s="3" t="str">
        <f>"邱功川"</f>
        <v>邱功川</v>
      </c>
      <c r="D37" s="3" t="s">
        <v>45</v>
      </c>
    </row>
    <row r="38" spans="1:4" ht="24.75" customHeight="1">
      <c r="A38" s="3" t="str">
        <f>"34892021110309250537701"</f>
        <v>34892021110309250537701</v>
      </c>
      <c r="B38" s="3" t="s">
        <v>33</v>
      </c>
      <c r="C38" s="3" t="str">
        <f>"卢茜"</f>
        <v>卢茜</v>
      </c>
      <c r="D38" s="3" t="s">
        <v>46</v>
      </c>
    </row>
    <row r="39" spans="1:4" ht="24.75" customHeight="1">
      <c r="A39" s="3" t="str">
        <f>"34892021110309253737708"</f>
        <v>34892021110309253737708</v>
      </c>
      <c r="B39" s="3" t="s">
        <v>33</v>
      </c>
      <c r="C39" s="3" t="str">
        <f>"马巧妹"</f>
        <v>马巧妹</v>
      </c>
      <c r="D39" s="3" t="s">
        <v>47</v>
      </c>
    </row>
    <row r="40" spans="1:4" ht="24.75" customHeight="1">
      <c r="A40" s="3" t="str">
        <f>"34892021110309270037719"</f>
        <v>34892021110309270037719</v>
      </c>
      <c r="B40" s="3" t="s">
        <v>33</v>
      </c>
      <c r="C40" s="3" t="str">
        <f>"栾芮"</f>
        <v>栾芮</v>
      </c>
      <c r="D40" s="3" t="s">
        <v>48</v>
      </c>
    </row>
    <row r="41" spans="1:4" ht="24.75" customHeight="1">
      <c r="A41" s="3" t="str">
        <f>"34892021110309280037733"</f>
        <v>34892021110309280037733</v>
      </c>
      <c r="B41" s="3" t="s">
        <v>33</v>
      </c>
      <c r="C41" s="3" t="str">
        <f>"李梦君"</f>
        <v>李梦君</v>
      </c>
      <c r="D41" s="3" t="s">
        <v>49</v>
      </c>
    </row>
    <row r="42" spans="1:4" ht="24.75" customHeight="1">
      <c r="A42" s="3" t="str">
        <f>"34892021110309281037736"</f>
        <v>34892021110309281037736</v>
      </c>
      <c r="B42" s="3" t="s">
        <v>33</v>
      </c>
      <c r="C42" s="3" t="str">
        <f>"苏思诚"</f>
        <v>苏思诚</v>
      </c>
      <c r="D42" s="3" t="s">
        <v>50</v>
      </c>
    </row>
    <row r="43" spans="1:4" ht="24.75" customHeight="1">
      <c r="A43" s="3" t="str">
        <f>"34892021110309284537742"</f>
        <v>34892021110309284537742</v>
      </c>
      <c r="B43" s="3" t="s">
        <v>33</v>
      </c>
      <c r="C43" s="3" t="str">
        <f>"陈忠贵"</f>
        <v>陈忠贵</v>
      </c>
      <c r="D43" s="3" t="s">
        <v>51</v>
      </c>
    </row>
    <row r="44" spans="1:4" ht="24.75" customHeight="1">
      <c r="A44" s="3" t="str">
        <f>"34892021110309304137765"</f>
        <v>34892021110309304137765</v>
      </c>
      <c r="B44" s="3" t="s">
        <v>33</v>
      </c>
      <c r="C44" s="3" t="str">
        <f>"李雨娴"</f>
        <v>李雨娴</v>
      </c>
      <c r="D44" s="3" t="s">
        <v>52</v>
      </c>
    </row>
    <row r="45" spans="1:4" ht="24.75" customHeight="1">
      <c r="A45" s="3" t="str">
        <f>"34892021110309331237786"</f>
        <v>34892021110309331237786</v>
      </c>
      <c r="B45" s="3" t="s">
        <v>33</v>
      </c>
      <c r="C45" s="3" t="str">
        <f>"李锐"</f>
        <v>李锐</v>
      </c>
      <c r="D45" s="3" t="s">
        <v>53</v>
      </c>
    </row>
    <row r="46" spans="1:4" ht="24.75" customHeight="1">
      <c r="A46" s="3" t="str">
        <f>"34892021110309344437797"</f>
        <v>34892021110309344437797</v>
      </c>
      <c r="B46" s="3" t="s">
        <v>33</v>
      </c>
      <c r="C46" s="3" t="str">
        <f>"陈帼芳"</f>
        <v>陈帼芳</v>
      </c>
      <c r="D46" s="3" t="s">
        <v>54</v>
      </c>
    </row>
    <row r="47" spans="1:4" ht="24.75" customHeight="1">
      <c r="A47" s="3" t="str">
        <f>"34892021110309345537798"</f>
        <v>34892021110309345537798</v>
      </c>
      <c r="B47" s="3" t="s">
        <v>33</v>
      </c>
      <c r="C47" s="3" t="str">
        <f>"蒙露"</f>
        <v>蒙露</v>
      </c>
      <c r="D47" s="3" t="s">
        <v>55</v>
      </c>
    </row>
    <row r="48" spans="1:4" ht="24.75" customHeight="1">
      <c r="A48" s="3" t="str">
        <f>"34892021110309370437822"</f>
        <v>34892021110309370437822</v>
      </c>
      <c r="B48" s="3" t="s">
        <v>33</v>
      </c>
      <c r="C48" s="3" t="str">
        <f>"吴承精"</f>
        <v>吴承精</v>
      </c>
      <c r="D48" s="3" t="s">
        <v>56</v>
      </c>
    </row>
    <row r="49" spans="1:4" ht="24.75" customHeight="1">
      <c r="A49" s="3" t="str">
        <f>"34892021110309384037840"</f>
        <v>34892021110309384037840</v>
      </c>
      <c r="B49" s="3" t="s">
        <v>33</v>
      </c>
      <c r="C49" s="3" t="str">
        <f>"符春玲"</f>
        <v>符春玲</v>
      </c>
      <c r="D49" s="3" t="s">
        <v>57</v>
      </c>
    </row>
    <row r="50" spans="1:4" ht="24.75" customHeight="1">
      <c r="A50" s="3" t="str">
        <f>"34892021110309423837878"</f>
        <v>34892021110309423837878</v>
      </c>
      <c r="B50" s="3" t="s">
        <v>33</v>
      </c>
      <c r="C50" s="3" t="str">
        <f>"吴秀川"</f>
        <v>吴秀川</v>
      </c>
      <c r="D50" s="3" t="s">
        <v>58</v>
      </c>
    </row>
    <row r="51" spans="1:4" ht="24.75" customHeight="1">
      <c r="A51" s="3" t="str">
        <f>"34892021110309515037948"</f>
        <v>34892021110309515037948</v>
      </c>
      <c r="B51" s="3" t="s">
        <v>33</v>
      </c>
      <c r="C51" s="3" t="str">
        <f>"温盛亮"</f>
        <v>温盛亮</v>
      </c>
      <c r="D51" s="3" t="s">
        <v>59</v>
      </c>
    </row>
    <row r="52" spans="1:4" ht="24.75" customHeight="1">
      <c r="A52" s="3" t="str">
        <f>"34892021110309523437958"</f>
        <v>34892021110309523437958</v>
      </c>
      <c r="B52" s="3" t="s">
        <v>33</v>
      </c>
      <c r="C52" s="3" t="str">
        <f>"王燕方"</f>
        <v>王燕方</v>
      </c>
      <c r="D52" s="3" t="s">
        <v>60</v>
      </c>
    </row>
    <row r="53" spans="1:4" ht="24.75" customHeight="1">
      <c r="A53" s="3" t="str">
        <f>"34892021110309540937978"</f>
        <v>34892021110309540937978</v>
      </c>
      <c r="B53" s="3" t="s">
        <v>33</v>
      </c>
      <c r="C53" s="3" t="str">
        <f>"黄湘华"</f>
        <v>黄湘华</v>
      </c>
      <c r="D53" s="3" t="s">
        <v>61</v>
      </c>
    </row>
    <row r="54" spans="1:4" ht="24.75" customHeight="1">
      <c r="A54" s="3" t="str">
        <f>"34892021110309555337994"</f>
        <v>34892021110309555337994</v>
      </c>
      <c r="B54" s="3" t="s">
        <v>33</v>
      </c>
      <c r="C54" s="3" t="str">
        <f>"李海南"</f>
        <v>李海南</v>
      </c>
      <c r="D54" s="3" t="s">
        <v>62</v>
      </c>
    </row>
    <row r="55" spans="1:4" ht="24.75" customHeight="1">
      <c r="A55" s="3" t="str">
        <f>"34892021110309584338021"</f>
        <v>34892021110309584338021</v>
      </c>
      <c r="B55" s="3" t="s">
        <v>33</v>
      </c>
      <c r="C55" s="3" t="str">
        <f>"洪海"</f>
        <v>洪海</v>
      </c>
      <c r="D55" s="3" t="s">
        <v>63</v>
      </c>
    </row>
    <row r="56" spans="1:4" ht="24.75" customHeight="1">
      <c r="A56" s="3" t="str">
        <f>"34892021110310060038088"</f>
        <v>34892021110310060038088</v>
      </c>
      <c r="B56" s="3" t="s">
        <v>33</v>
      </c>
      <c r="C56" s="3" t="str">
        <f>"王文瑶"</f>
        <v>王文瑶</v>
      </c>
      <c r="D56" s="3" t="s">
        <v>64</v>
      </c>
    </row>
    <row r="57" spans="1:4" ht="24.75" customHeight="1">
      <c r="A57" s="3" t="str">
        <f>"34892021110310065738102"</f>
        <v>34892021110310065738102</v>
      </c>
      <c r="B57" s="3" t="s">
        <v>33</v>
      </c>
      <c r="C57" s="3" t="str">
        <f>"李靖"</f>
        <v>李靖</v>
      </c>
      <c r="D57" s="3" t="s">
        <v>65</v>
      </c>
    </row>
    <row r="58" spans="1:4" ht="24.75" customHeight="1">
      <c r="A58" s="3" t="str">
        <f>"34892021110310081538114"</f>
        <v>34892021110310081538114</v>
      </c>
      <c r="B58" s="3" t="s">
        <v>33</v>
      </c>
      <c r="C58" s="3" t="str">
        <f>"王琪"</f>
        <v>王琪</v>
      </c>
      <c r="D58" s="3" t="s">
        <v>66</v>
      </c>
    </row>
    <row r="59" spans="1:4" ht="24.75" customHeight="1">
      <c r="A59" s="3" t="str">
        <f>"34892021110310101538138"</f>
        <v>34892021110310101538138</v>
      </c>
      <c r="B59" s="3" t="s">
        <v>33</v>
      </c>
      <c r="C59" s="3" t="str">
        <f>"陈冬娴"</f>
        <v>陈冬娴</v>
      </c>
      <c r="D59" s="3" t="s">
        <v>67</v>
      </c>
    </row>
    <row r="60" spans="1:4" ht="24.75" customHeight="1">
      <c r="A60" s="3" t="str">
        <f>"34892021110310143238181"</f>
        <v>34892021110310143238181</v>
      </c>
      <c r="B60" s="3" t="s">
        <v>33</v>
      </c>
      <c r="C60" s="3" t="str">
        <f>"王树奇"</f>
        <v>王树奇</v>
      </c>
      <c r="D60" s="3" t="s">
        <v>68</v>
      </c>
    </row>
    <row r="61" spans="1:4" ht="24.75" customHeight="1">
      <c r="A61" s="3" t="str">
        <f>"34892021110310154238191"</f>
        <v>34892021110310154238191</v>
      </c>
      <c r="B61" s="3" t="s">
        <v>33</v>
      </c>
      <c r="C61" s="3" t="str">
        <f>"罗孟珠"</f>
        <v>罗孟珠</v>
      </c>
      <c r="D61" s="3" t="s">
        <v>69</v>
      </c>
    </row>
    <row r="62" spans="1:4" ht="24.75" customHeight="1">
      <c r="A62" s="3" t="str">
        <f>"34892021110310175038210"</f>
        <v>34892021110310175038210</v>
      </c>
      <c r="B62" s="3" t="s">
        <v>33</v>
      </c>
      <c r="C62" s="3" t="str">
        <f>"陈建荣"</f>
        <v>陈建荣</v>
      </c>
      <c r="D62" s="3" t="s">
        <v>70</v>
      </c>
    </row>
    <row r="63" spans="1:4" ht="24.75" customHeight="1">
      <c r="A63" s="3" t="str">
        <f>"34892021110310201338237"</f>
        <v>34892021110310201338237</v>
      </c>
      <c r="B63" s="3" t="s">
        <v>33</v>
      </c>
      <c r="C63" s="3" t="str">
        <f>"郑丕华"</f>
        <v>郑丕华</v>
      </c>
      <c r="D63" s="3" t="s">
        <v>71</v>
      </c>
    </row>
    <row r="64" spans="1:4" ht="24.75" customHeight="1">
      <c r="A64" s="3" t="str">
        <f>"34892021110310241638273"</f>
        <v>34892021110310241638273</v>
      </c>
      <c r="B64" s="3" t="s">
        <v>33</v>
      </c>
      <c r="C64" s="3" t="str">
        <f>"朱秋柏"</f>
        <v>朱秋柏</v>
      </c>
      <c r="D64" s="3" t="s">
        <v>72</v>
      </c>
    </row>
    <row r="65" spans="1:4" ht="24.75" customHeight="1">
      <c r="A65" s="3" t="str">
        <f>"34892021110310244538275"</f>
        <v>34892021110310244538275</v>
      </c>
      <c r="B65" s="3" t="s">
        <v>33</v>
      </c>
      <c r="C65" s="3" t="str">
        <f>"蔡文君"</f>
        <v>蔡文君</v>
      </c>
      <c r="D65" s="3" t="s">
        <v>73</v>
      </c>
    </row>
    <row r="66" spans="1:4" ht="24.75" customHeight="1">
      <c r="A66" s="3" t="str">
        <f>"34892021110310285138314"</f>
        <v>34892021110310285138314</v>
      </c>
      <c r="B66" s="3" t="s">
        <v>33</v>
      </c>
      <c r="C66" s="3" t="str">
        <f>"黄扬恋"</f>
        <v>黄扬恋</v>
      </c>
      <c r="D66" s="3" t="s">
        <v>74</v>
      </c>
    </row>
    <row r="67" spans="1:4" ht="24.75" customHeight="1">
      <c r="A67" s="3" t="str">
        <f>"34892021110310292938321"</f>
        <v>34892021110310292938321</v>
      </c>
      <c r="B67" s="3" t="s">
        <v>33</v>
      </c>
      <c r="C67" s="3" t="str">
        <f>"王苑"</f>
        <v>王苑</v>
      </c>
      <c r="D67" s="3" t="s">
        <v>75</v>
      </c>
    </row>
    <row r="68" spans="1:4" ht="24.75" customHeight="1">
      <c r="A68" s="3" t="str">
        <f>"34892021110310330538349"</f>
        <v>34892021110310330538349</v>
      </c>
      <c r="B68" s="3" t="s">
        <v>33</v>
      </c>
      <c r="C68" s="3" t="str">
        <f>"薛欧妃"</f>
        <v>薛欧妃</v>
      </c>
      <c r="D68" s="3" t="s">
        <v>76</v>
      </c>
    </row>
    <row r="69" spans="1:4" ht="24.75" customHeight="1">
      <c r="A69" s="3" t="str">
        <f>"34892021110310375738394"</f>
        <v>34892021110310375738394</v>
      </c>
      <c r="B69" s="3" t="s">
        <v>33</v>
      </c>
      <c r="C69" s="3" t="str">
        <f>"郑玲玲"</f>
        <v>郑玲玲</v>
      </c>
      <c r="D69" s="3" t="s">
        <v>77</v>
      </c>
    </row>
    <row r="70" spans="1:4" ht="24.75" customHeight="1">
      <c r="A70" s="3" t="str">
        <f>"34892021110310395438410"</f>
        <v>34892021110310395438410</v>
      </c>
      <c r="B70" s="3" t="s">
        <v>33</v>
      </c>
      <c r="C70" s="3" t="str">
        <f>"雷珊"</f>
        <v>雷珊</v>
      </c>
      <c r="D70" s="3" t="s">
        <v>78</v>
      </c>
    </row>
    <row r="71" spans="1:4" ht="24.75" customHeight="1">
      <c r="A71" s="3" t="str">
        <f>"34892021110310430738441"</f>
        <v>34892021110310430738441</v>
      </c>
      <c r="B71" s="3" t="s">
        <v>33</v>
      </c>
      <c r="C71" s="3" t="str">
        <f>"肖智中"</f>
        <v>肖智中</v>
      </c>
      <c r="D71" s="3" t="s">
        <v>79</v>
      </c>
    </row>
    <row r="72" spans="1:4" ht="24.75" customHeight="1">
      <c r="A72" s="3" t="str">
        <f>"34892021110310474438485"</f>
        <v>34892021110310474438485</v>
      </c>
      <c r="B72" s="3" t="s">
        <v>33</v>
      </c>
      <c r="C72" s="3" t="str">
        <f>"吴燕锋"</f>
        <v>吴燕锋</v>
      </c>
      <c r="D72" s="3" t="s">
        <v>80</v>
      </c>
    </row>
    <row r="73" spans="1:4" ht="24.75" customHeight="1">
      <c r="A73" s="3" t="str">
        <f>"34892021110310510738518"</f>
        <v>34892021110310510738518</v>
      </c>
      <c r="B73" s="3" t="s">
        <v>33</v>
      </c>
      <c r="C73" s="3" t="str">
        <f>"王浩然"</f>
        <v>王浩然</v>
      </c>
      <c r="D73" s="3" t="s">
        <v>81</v>
      </c>
    </row>
    <row r="74" spans="1:4" ht="24.75" customHeight="1">
      <c r="A74" s="3" t="str">
        <f>"34892021110310535638543"</f>
        <v>34892021110310535638543</v>
      </c>
      <c r="B74" s="3" t="s">
        <v>33</v>
      </c>
      <c r="C74" s="3" t="str">
        <f>"张剑花"</f>
        <v>张剑花</v>
      </c>
      <c r="D74" s="3" t="s">
        <v>82</v>
      </c>
    </row>
    <row r="75" spans="1:4" ht="24.75" customHeight="1">
      <c r="A75" s="3" t="str">
        <f>"34892021110311015138604"</f>
        <v>34892021110311015138604</v>
      </c>
      <c r="B75" s="3" t="s">
        <v>33</v>
      </c>
      <c r="C75" s="3" t="str">
        <f>"蓝畅"</f>
        <v>蓝畅</v>
      </c>
      <c r="D75" s="3" t="s">
        <v>83</v>
      </c>
    </row>
    <row r="76" spans="1:4" ht="24.75" customHeight="1">
      <c r="A76" s="3" t="str">
        <f>"34892021110311101338664"</f>
        <v>34892021110311101338664</v>
      </c>
      <c r="B76" s="3" t="s">
        <v>33</v>
      </c>
      <c r="C76" s="3" t="str">
        <f>"杨许娣"</f>
        <v>杨许娣</v>
      </c>
      <c r="D76" s="3" t="s">
        <v>84</v>
      </c>
    </row>
    <row r="77" spans="1:4" ht="24.75" customHeight="1">
      <c r="A77" s="3" t="str">
        <f>"34892021110311104038666"</f>
        <v>34892021110311104038666</v>
      </c>
      <c r="B77" s="3" t="s">
        <v>33</v>
      </c>
      <c r="C77" s="3" t="str">
        <f>"何才丁"</f>
        <v>何才丁</v>
      </c>
      <c r="D77" s="3" t="s">
        <v>85</v>
      </c>
    </row>
    <row r="78" spans="1:4" ht="24.75" customHeight="1">
      <c r="A78" s="3" t="str">
        <f>"34892021110311154338702"</f>
        <v>34892021110311154338702</v>
      </c>
      <c r="B78" s="3" t="s">
        <v>33</v>
      </c>
      <c r="C78" s="3" t="str">
        <f>"刘雯箐"</f>
        <v>刘雯箐</v>
      </c>
      <c r="D78" s="3" t="s">
        <v>86</v>
      </c>
    </row>
    <row r="79" spans="1:4" ht="24.75" customHeight="1">
      <c r="A79" s="3" t="str">
        <f>"34892021110311162838707"</f>
        <v>34892021110311162838707</v>
      </c>
      <c r="B79" s="3" t="s">
        <v>33</v>
      </c>
      <c r="C79" s="3" t="str">
        <f>"王惠芬"</f>
        <v>王惠芬</v>
      </c>
      <c r="D79" s="3" t="s">
        <v>87</v>
      </c>
    </row>
    <row r="80" spans="1:4" ht="24.75" customHeight="1">
      <c r="A80" s="3" t="str">
        <f>"34892021110311191138723"</f>
        <v>34892021110311191138723</v>
      </c>
      <c r="B80" s="3" t="s">
        <v>33</v>
      </c>
      <c r="C80" s="3" t="str">
        <f>"覃昭煌"</f>
        <v>覃昭煌</v>
      </c>
      <c r="D80" s="3" t="s">
        <v>88</v>
      </c>
    </row>
    <row r="81" spans="1:4" ht="24.75" customHeight="1">
      <c r="A81" s="3" t="str">
        <f>"34892021110311191438724"</f>
        <v>34892021110311191438724</v>
      </c>
      <c r="B81" s="3" t="s">
        <v>33</v>
      </c>
      <c r="C81" s="3" t="str">
        <f>"李月英"</f>
        <v>李月英</v>
      </c>
      <c r="D81" s="3" t="s">
        <v>89</v>
      </c>
    </row>
    <row r="82" spans="1:4" ht="24.75" customHeight="1">
      <c r="A82" s="3" t="str">
        <f>"34892021110311193238726"</f>
        <v>34892021110311193238726</v>
      </c>
      <c r="B82" s="3" t="s">
        <v>33</v>
      </c>
      <c r="C82" s="3" t="str">
        <f>"羊顺玲"</f>
        <v>羊顺玲</v>
      </c>
      <c r="D82" s="3" t="s">
        <v>90</v>
      </c>
    </row>
    <row r="83" spans="1:4" ht="24.75" customHeight="1">
      <c r="A83" s="3" t="str">
        <f>"34892021110311280038792"</f>
        <v>34892021110311280038792</v>
      </c>
      <c r="B83" s="3" t="s">
        <v>33</v>
      </c>
      <c r="C83" s="3" t="str">
        <f>"曾女"</f>
        <v>曾女</v>
      </c>
      <c r="D83" s="3" t="s">
        <v>91</v>
      </c>
    </row>
    <row r="84" spans="1:4" ht="24.75" customHeight="1">
      <c r="A84" s="3" t="str">
        <f>"34892021110311304638810"</f>
        <v>34892021110311304638810</v>
      </c>
      <c r="B84" s="3" t="s">
        <v>33</v>
      </c>
      <c r="C84" s="3" t="str">
        <f>"符红茹"</f>
        <v>符红茹</v>
      </c>
      <c r="D84" s="3" t="s">
        <v>92</v>
      </c>
    </row>
    <row r="85" spans="1:4" ht="24.75" customHeight="1">
      <c r="A85" s="3" t="str">
        <f>"34892021110311384838873"</f>
        <v>34892021110311384838873</v>
      </c>
      <c r="B85" s="3" t="s">
        <v>33</v>
      </c>
      <c r="C85" s="3" t="str">
        <f>"邱莹"</f>
        <v>邱莹</v>
      </c>
      <c r="D85" s="3" t="s">
        <v>93</v>
      </c>
    </row>
    <row r="86" spans="1:4" ht="24.75" customHeight="1">
      <c r="A86" s="3" t="str">
        <f>"34892021110311393038882"</f>
        <v>34892021110311393038882</v>
      </c>
      <c r="B86" s="3" t="s">
        <v>33</v>
      </c>
      <c r="C86" s="3" t="str">
        <f>"洪桂坤"</f>
        <v>洪桂坤</v>
      </c>
      <c r="D86" s="3" t="s">
        <v>94</v>
      </c>
    </row>
    <row r="87" spans="1:4" ht="24.75" customHeight="1">
      <c r="A87" s="3" t="str">
        <f>"34892021110311424238909"</f>
        <v>34892021110311424238909</v>
      </c>
      <c r="B87" s="3" t="s">
        <v>33</v>
      </c>
      <c r="C87" s="3" t="str">
        <f>"王小集"</f>
        <v>王小集</v>
      </c>
      <c r="D87" s="3" t="s">
        <v>95</v>
      </c>
    </row>
    <row r="88" spans="1:4" ht="24.75" customHeight="1">
      <c r="A88" s="3" t="str">
        <f>"34892021110311462138928"</f>
        <v>34892021110311462138928</v>
      </c>
      <c r="B88" s="3" t="s">
        <v>33</v>
      </c>
      <c r="C88" s="3" t="str">
        <f>"高亚志"</f>
        <v>高亚志</v>
      </c>
      <c r="D88" s="3" t="s">
        <v>96</v>
      </c>
    </row>
    <row r="89" spans="1:4" ht="24.75" customHeight="1">
      <c r="A89" s="3" t="str">
        <f>"34892021110311475738940"</f>
        <v>34892021110311475738940</v>
      </c>
      <c r="B89" s="3" t="s">
        <v>33</v>
      </c>
      <c r="C89" s="3" t="str">
        <f>"郑喻"</f>
        <v>郑喻</v>
      </c>
      <c r="D89" s="3" t="s">
        <v>97</v>
      </c>
    </row>
    <row r="90" spans="1:4" ht="24.75" customHeight="1">
      <c r="A90" s="3" t="str">
        <f>"34892021110311551838980"</f>
        <v>34892021110311551838980</v>
      </c>
      <c r="B90" s="3" t="s">
        <v>33</v>
      </c>
      <c r="C90" s="3" t="str">
        <f>"陈汉钊"</f>
        <v>陈汉钊</v>
      </c>
      <c r="D90" s="3" t="s">
        <v>98</v>
      </c>
    </row>
    <row r="91" spans="1:4" ht="24.75" customHeight="1">
      <c r="A91" s="3" t="str">
        <f>"34892021110311565938991"</f>
        <v>34892021110311565938991</v>
      </c>
      <c r="B91" s="3" t="s">
        <v>33</v>
      </c>
      <c r="C91" s="3" t="str">
        <f>"蔡洪宇"</f>
        <v>蔡洪宇</v>
      </c>
      <c r="D91" s="3" t="s">
        <v>99</v>
      </c>
    </row>
    <row r="92" spans="1:4" ht="24.75" customHeight="1">
      <c r="A92" s="3" t="str">
        <f>"34892021110311570238992"</f>
        <v>34892021110311570238992</v>
      </c>
      <c r="B92" s="3" t="s">
        <v>33</v>
      </c>
      <c r="C92" s="3" t="str">
        <f>"刘珍玲"</f>
        <v>刘珍玲</v>
      </c>
      <c r="D92" s="3" t="s">
        <v>100</v>
      </c>
    </row>
    <row r="93" spans="1:4" ht="24.75" customHeight="1">
      <c r="A93" s="3" t="str">
        <f>"34892021110312035839026"</f>
        <v>34892021110312035839026</v>
      </c>
      <c r="B93" s="3" t="s">
        <v>33</v>
      </c>
      <c r="C93" s="3" t="str">
        <f>"吴佩婷"</f>
        <v>吴佩婷</v>
      </c>
      <c r="D93" s="3" t="s">
        <v>101</v>
      </c>
    </row>
    <row r="94" spans="1:4" ht="24.75" customHeight="1">
      <c r="A94" s="3" t="str">
        <f>"34892021110312104239065"</f>
        <v>34892021110312104239065</v>
      </c>
      <c r="B94" s="3" t="s">
        <v>33</v>
      </c>
      <c r="C94" s="3" t="str">
        <f>"孙鸿萍"</f>
        <v>孙鸿萍</v>
      </c>
      <c r="D94" s="3" t="s">
        <v>102</v>
      </c>
    </row>
    <row r="95" spans="1:4" ht="24.75" customHeight="1">
      <c r="A95" s="3" t="str">
        <f>"34892021110312271339164"</f>
        <v>34892021110312271339164</v>
      </c>
      <c r="B95" s="3" t="s">
        <v>33</v>
      </c>
      <c r="C95" s="3" t="str">
        <f>"郑圣轩"</f>
        <v>郑圣轩</v>
      </c>
      <c r="D95" s="3" t="s">
        <v>103</v>
      </c>
    </row>
    <row r="96" spans="1:4" ht="24.75" customHeight="1">
      <c r="A96" s="3" t="str">
        <f>"34892021110312330739201"</f>
        <v>34892021110312330739201</v>
      </c>
      <c r="B96" s="3" t="s">
        <v>33</v>
      </c>
      <c r="C96" s="3" t="str">
        <f>"沈宁"</f>
        <v>沈宁</v>
      </c>
      <c r="D96" s="3" t="s">
        <v>104</v>
      </c>
    </row>
    <row r="97" spans="1:4" ht="24.75" customHeight="1">
      <c r="A97" s="3" t="str">
        <f>"34892021110312393939244"</f>
        <v>34892021110312393939244</v>
      </c>
      <c r="B97" s="3" t="s">
        <v>33</v>
      </c>
      <c r="C97" s="3" t="str">
        <f>"黄丽蓉"</f>
        <v>黄丽蓉</v>
      </c>
      <c r="D97" s="3" t="s">
        <v>105</v>
      </c>
    </row>
    <row r="98" spans="1:4" ht="24.75" customHeight="1">
      <c r="A98" s="3" t="str">
        <f>"34892021110312555039351"</f>
        <v>34892021110312555039351</v>
      </c>
      <c r="B98" s="3" t="s">
        <v>33</v>
      </c>
      <c r="C98" s="3" t="str">
        <f>"李经宝"</f>
        <v>李经宝</v>
      </c>
      <c r="D98" s="3" t="s">
        <v>106</v>
      </c>
    </row>
    <row r="99" spans="1:4" ht="24.75" customHeight="1">
      <c r="A99" s="3" t="str">
        <f>"34892021110313054039407"</f>
        <v>34892021110313054039407</v>
      </c>
      <c r="B99" s="3" t="s">
        <v>33</v>
      </c>
      <c r="C99" s="3" t="str">
        <f>"梁敬源"</f>
        <v>梁敬源</v>
      </c>
      <c r="D99" s="3" t="s">
        <v>107</v>
      </c>
    </row>
    <row r="100" spans="1:4" ht="24.75" customHeight="1">
      <c r="A100" s="3" t="str">
        <f>"34892021110313154939483"</f>
        <v>34892021110313154939483</v>
      </c>
      <c r="B100" s="3" t="s">
        <v>33</v>
      </c>
      <c r="C100" s="3" t="str">
        <f>"邢文悦"</f>
        <v>邢文悦</v>
      </c>
      <c r="D100" s="3" t="s">
        <v>108</v>
      </c>
    </row>
    <row r="101" spans="1:4" ht="24.75" customHeight="1">
      <c r="A101" s="3" t="str">
        <f>"34892021110313200239508"</f>
        <v>34892021110313200239508</v>
      </c>
      <c r="B101" s="3" t="s">
        <v>33</v>
      </c>
      <c r="C101" s="3" t="str">
        <f>"薛超文"</f>
        <v>薛超文</v>
      </c>
      <c r="D101" s="3" t="s">
        <v>109</v>
      </c>
    </row>
    <row r="102" spans="1:4" ht="24.75" customHeight="1">
      <c r="A102" s="3" t="str">
        <f>"34892021110313410639632"</f>
        <v>34892021110313410639632</v>
      </c>
      <c r="B102" s="3" t="s">
        <v>33</v>
      </c>
      <c r="C102" s="3" t="str">
        <f>"曾维臣"</f>
        <v>曾维臣</v>
      </c>
      <c r="D102" s="3" t="s">
        <v>110</v>
      </c>
    </row>
    <row r="103" spans="1:4" ht="24.75" customHeight="1">
      <c r="A103" s="3" t="str">
        <f>"34892021110313535439687"</f>
        <v>34892021110313535439687</v>
      </c>
      <c r="B103" s="3" t="s">
        <v>33</v>
      </c>
      <c r="C103" s="3" t="str">
        <f>"吴鹏"</f>
        <v>吴鹏</v>
      </c>
      <c r="D103" s="3" t="s">
        <v>111</v>
      </c>
    </row>
    <row r="104" spans="1:4" ht="24.75" customHeight="1">
      <c r="A104" s="3" t="str">
        <f>"34892021110314152939796"</f>
        <v>34892021110314152939796</v>
      </c>
      <c r="B104" s="3" t="s">
        <v>33</v>
      </c>
      <c r="C104" s="3" t="str">
        <f>"卢才珍"</f>
        <v>卢才珍</v>
      </c>
      <c r="D104" s="3" t="s">
        <v>112</v>
      </c>
    </row>
    <row r="105" spans="1:4" ht="24.75" customHeight="1">
      <c r="A105" s="3" t="str">
        <f>"34892021110314224539834"</f>
        <v>34892021110314224539834</v>
      </c>
      <c r="B105" s="3" t="s">
        <v>33</v>
      </c>
      <c r="C105" s="3" t="str">
        <f>"顾萱"</f>
        <v>顾萱</v>
      </c>
      <c r="D105" s="3" t="s">
        <v>113</v>
      </c>
    </row>
    <row r="106" spans="1:4" ht="24.75" customHeight="1">
      <c r="A106" s="3" t="str">
        <f>"34892021110314372039926"</f>
        <v>34892021110314372039926</v>
      </c>
      <c r="B106" s="3" t="s">
        <v>33</v>
      </c>
      <c r="C106" s="3" t="str">
        <f>"岑云玲"</f>
        <v>岑云玲</v>
      </c>
      <c r="D106" s="3" t="s">
        <v>114</v>
      </c>
    </row>
    <row r="107" spans="1:4" ht="24.75" customHeight="1">
      <c r="A107" s="3" t="str">
        <f>"34892021110314424839982"</f>
        <v>34892021110314424839982</v>
      </c>
      <c r="B107" s="3" t="s">
        <v>33</v>
      </c>
      <c r="C107" s="3" t="str">
        <f>"辜冠铭"</f>
        <v>辜冠铭</v>
      </c>
      <c r="D107" s="3" t="s">
        <v>115</v>
      </c>
    </row>
    <row r="108" spans="1:4" ht="24.75" customHeight="1">
      <c r="A108" s="3" t="str">
        <f>"34892021110315041240145"</f>
        <v>34892021110315041240145</v>
      </c>
      <c r="B108" s="3" t="s">
        <v>33</v>
      </c>
      <c r="C108" s="3" t="str">
        <f>"符延孟"</f>
        <v>符延孟</v>
      </c>
      <c r="D108" s="3" t="s">
        <v>116</v>
      </c>
    </row>
    <row r="109" spans="1:4" ht="24.75" customHeight="1">
      <c r="A109" s="3" t="str">
        <f>"34892021110315045340155"</f>
        <v>34892021110315045340155</v>
      </c>
      <c r="B109" s="3" t="s">
        <v>33</v>
      </c>
      <c r="C109" s="3" t="str">
        <f>"林莉莉"</f>
        <v>林莉莉</v>
      </c>
      <c r="D109" s="3" t="s">
        <v>117</v>
      </c>
    </row>
    <row r="110" spans="1:4" ht="24.75" customHeight="1">
      <c r="A110" s="3" t="str">
        <f>"34892021110315264140344"</f>
        <v>34892021110315264140344</v>
      </c>
      <c r="B110" s="3" t="s">
        <v>33</v>
      </c>
      <c r="C110" s="3" t="str">
        <f>"冼欣欣"</f>
        <v>冼欣欣</v>
      </c>
      <c r="D110" s="3" t="s">
        <v>118</v>
      </c>
    </row>
    <row r="111" spans="1:4" ht="24.75" customHeight="1">
      <c r="A111" s="3" t="str">
        <f>"34892021110315355840411"</f>
        <v>34892021110315355840411</v>
      </c>
      <c r="B111" s="3" t="s">
        <v>33</v>
      </c>
      <c r="C111" s="3" t="str">
        <f>"王英丹"</f>
        <v>王英丹</v>
      </c>
      <c r="D111" s="3" t="s">
        <v>119</v>
      </c>
    </row>
    <row r="112" spans="1:4" ht="24.75" customHeight="1">
      <c r="A112" s="3" t="str">
        <f>"34892021110315395040449"</f>
        <v>34892021110315395040449</v>
      </c>
      <c r="B112" s="3" t="s">
        <v>33</v>
      </c>
      <c r="C112" s="3" t="str">
        <f>"王琴"</f>
        <v>王琴</v>
      </c>
      <c r="D112" s="3" t="s">
        <v>120</v>
      </c>
    </row>
    <row r="113" spans="1:4" ht="24.75" customHeight="1">
      <c r="A113" s="3" t="str">
        <f>"34892021110315412940462"</f>
        <v>34892021110315412940462</v>
      </c>
      <c r="B113" s="3" t="s">
        <v>33</v>
      </c>
      <c r="C113" s="3" t="str">
        <f>"罗井助"</f>
        <v>罗井助</v>
      </c>
      <c r="D113" s="3" t="s">
        <v>121</v>
      </c>
    </row>
    <row r="114" spans="1:4" ht="24.75" customHeight="1">
      <c r="A114" s="3" t="str">
        <f>"34892021110315443040485"</f>
        <v>34892021110315443040485</v>
      </c>
      <c r="B114" s="3" t="s">
        <v>33</v>
      </c>
      <c r="C114" s="3" t="str">
        <f>"谢燕花"</f>
        <v>谢燕花</v>
      </c>
      <c r="D114" s="3" t="s">
        <v>122</v>
      </c>
    </row>
    <row r="115" spans="1:4" ht="24.75" customHeight="1">
      <c r="A115" s="3" t="str">
        <f>"34892021110315505140522"</f>
        <v>34892021110315505140522</v>
      </c>
      <c r="B115" s="3" t="s">
        <v>33</v>
      </c>
      <c r="C115" s="3" t="str">
        <f>"肖唯鹃"</f>
        <v>肖唯鹃</v>
      </c>
      <c r="D115" s="3" t="s">
        <v>123</v>
      </c>
    </row>
    <row r="116" spans="1:4" ht="24.75" customHeight="1">
      <c r="A116" s="3" t="str">
        <f>"34892021110315520440537"</f>
        <v>34892021110315520440537</v>
      </c>
      <c r="B116" s="3" t="s">
        <v>33</v>
      </c>
      <c r="C116" s="3" t="str">
        <f>"张春风"</f>
        <v>张春风</v>
      </c>
      <c r="D116" s="3" t="s">
        <v>124</v>
      </c>
    </row>
    <row r="117" spans="1:4" ht="24.75" customHeight="1">
      <c r="A117" s="3" t="str">
        <f>"34892021110315572340564"</f>
        <v>34892021110315572340564</v>
      </c>
      <c r="B117" s="3" t="s">
        <v>33</v>
      </c>
      <c r="C117" s="3" t="str">
        <f>"黄珍珠"</f>
        <v>黄珍珠</v>
      </c>
      <c r="D117" s="3" t="s">
        <v>125</v>
      </c>
    </row>
    <row r="118" spans="1:4" ht="24.75" customHeight="1">
      <c r="A118" s="3" t="str">
        <f>"34892021110316001140583"</f>
        <v>34892021110316001140583</v>
      </c>
      <c r="B118" s="3" t="s">
        <v>33</v>
      </c>
      <c r="C118" s="3" t="str">
        <f>"陈壮兰"</f>
        <v>陈壮兰</v>
      </c>
      <c r="D118" s="3" t="s">
        <v>126</v>
      </c>
    </row>
    <row r="119" spans="1:4" ht="24.75" customHeight="1">
      <c r="A119" s="3" t="str">
        <f>"34892021110316020440600"</f>
        <v>34892021110316020440600</v>
      </c>
      <c r="B119" s="3" t="s">
        <v>33</v>
      </c>
      <c r="C119" s="3" t="str">
        <f>"陈丽娜"</f>
        <v>陈丽娜</v>
      </c>
      <c r="D119" s="3" t="s">
        <v>127</v>
      </c>
    </row>
    <row r="120" spans="1:4" ht="24.75" customHeight="1">
      <c r="A120" s="3" t="str">
        <f>"34892021110316075740647"</f>
        <v>34892021110316075740647</v>
      </c>
      <c r="B120" s="3" t="s">
        <v>33</v>
      </c>
      <c r="C120" s="3" t="str">
        <f>"王扶经"</f>
        <v>王扶经</v>
      </c>
      <c r="D120" s="3" t="s">
        <v>128</v>
      </c>
    </row>
    <row r="121" spans="1:4" ht="24.75" customHeight="1">
      <c r="A121" s="3" t="str">
        <f>"34892021110316161140708"</f>
        <v>34892021110316161140708</v>
      </c>
      <c r="B121" s="3" t="s">
        <v>33</v>
      </c>
      <c r="C121" s="3" t="str">
        <f>"王玉民"</f>
        <v>王玉民</v>
      </c>
      <c r="D121" s="3" t="s">
        <v>129</v>
      </c>
    </row>
    <row r="122" spans="1:4" ht="24.75" customHeight="1">
      <c r="A122" s="3" t="str">
        <f>"34892021110316374940860"</f>
        <v>34892021110316374940860</v>
      </c>
      <c r="B122" s="3" t="s">
        <v>33</v>
      </c>
      <c r="C122" s="3" t="str">
        <f>"王芹"</f>
        <v>王芹</v>
      </c>
      <c r="D122" s="3" t="s">
        <v>130</v>
      </c>
    </row>
    <row r="123" spans="1:4" ht="24.75" customHeight="1">
      <c r="A123" s="3" t="str">
        <f>"34892021110316492640920"</f>
        <v>34892021110316492640920</v>
      </c>
      <c r="B123" s="3" t="s">
        <v>33</v>
      </c>
      <c r="C123" s="3" t="str">
        <f>"侯春婷"</f>
        <v>侯春婷</v>
      </c>
      <c r="D123" s="3" t="s">
        <v>131</v>
      </c>
    </row>
    <row r="124" spans="1:4" ht="24.75" customHeight="1">
      <c r="A124" s="3" t="str">
        <f>"34892021110316501240924"</f>
        <v>34892021110316501240924</v>
      </c>
      <c r="B124" s="3" t="s">
        <v>33</v>
      </c>
      <c r="C124" s="3" t="str">
        <f>"林珠"</f>
        <v>林珠</v>
      </c>
      <c r="D124" s="3" t="s">
        <v>132</v>
      </c>
    </row>
    <row r="125" spans="1:4" ht="24.75" customHeight="1">
      <c r="A125" s="3" t="str">
        <f>"34892021110316514540935"</f>
        <v>34892021110316514540935</v>
      </c>
      <c r="B125" s="3" t="s">
        <v>33</v>
      </c>
      <c r="C125" s="3" t="str">
        <f>"王锋"</f>
        <v>王锋</v>
      </c>
      <c r="D125" s="3" t="s">
        <v>133</v>
      </c>
    </row>
    <row r="126" spans="1:4" ht="24.75" customHeight="1">
      <c r="A126" s="3" t="str">
        <f>"34892021110316550740962"</f>
        <v>34892021110316550740962</v>
      </c>
      <c r="B126" s="3" t="s">
        <v>33</v>
      </c>
      <c r="C126" s="3" t="str">
        <f>"李晓婧"</f>
        <v>李晓婧</v>
      </c>
      <c r="D126" s="3" t="s">
        <v>134</v>
      </c>
    </row>
    <row r="127" spans="1:4" ht="24.75" customHeight="1">
      <c r="A127" s="3" t="str">
        <f>"34892021110317062441045"</f>
        <v>34892021110317062441045</v>
      </c>
      <c r="B127" s="3" t="s">
        <v>33</v>
      </c>
      <c r="C127" s="3" t="str">
        <f>"郑孟浩"</f>
        <v>郑孟浩</v>
      </c>
      <c r="D127" s="3" t="s">
        <v>135</v>
      </c>
    </row>
    <row r="128" spans="1:4" ht="24.75" customHeight="1">
      <c r="A128" s="3" t="str">
        <f>"34892021110317135141079"</f>
        <v>34892021110317135141079</v>
      </c>
      <c r="B128" s="3" t="s">
        <v>33</v>
      </c>
      <c r="C128" s="3" t="str">
        <f>"唐雯花"</f>
        <v>唐雯花</v>
      </c>
      <c r="D128" s="3" t="s">
        <v>136</v>
      </c>
    </row>
    <row r="129" spans="1:4" ht="24.75" customHeight="1">
      <c r="A129" s="3" t="str">
        <f>"34892021110317261041148"</f>
        <v>34892021110317261041148</v>
      </c>
      <c r="B129" s="3" t="s">
        <v>33</v>
      </c>
      <c r="C129" s="3" t="str">
        <f>"黄童童"</f>
        <v>黄童童</v>
      </c>
      <c r="D129" s="3" t="s">
        <v>137</v>
      </c>
    </row>
    <row r="130" spans="1:4" ht="24.75" customHeight="1">
      <c r="A130" s="3" t="str">
        <f>"34892021110317465341215"</f>
        <v>34892021110317465341215</v>
      </c>
      <c r="B130" s="3" t="s">
        <v>33</v>
      </c>
      <c r="C130" s="3" t="str">
        <f>"符艳珍"</f>
        <v>符艳珍</v>
      </c>
      <c r="D130" s="3" t="s">
        <v>138</v>
      </c>
    </row>
    <row r="131" spans="1:4" ht="24.75" customHeight="1">
      <c r="A131" s="3" t="str">
        <f>"34892021110318082941259"</f>
        <v>34892021110318082941259</v>
      </c>
      <c r="B131" s="3" t="s">
        <v>33</v>
      </c>
      <c r="C131" s="3" t="str">
        <f>"符晓艺"</f>
        <v>符晓艺</v>
      </c>
      <c r="D131" s="3" t="s">
        <v>139</v>
      </c>
    </row>
    <row r="132" spans="1:4" ht="24.75" customHeight="1">
      <c r="A132" s="3" t="str">
        <f>"34892021110318102041265"</f>
        <v>34892021110318102041265</v>
      </c>
      <c r="B132" s="3" t="s">
        <v>33</v>
      </c>
      <c r="C132" s="3" t="str">
        <f>"严岚梅"</f>
        <v>严岚梅</v>
      </c>
      <c r="D132" s="3" t="s">
        <v>140</v>
      </c>
    </row>
    <row r="133" spans="1:4" ht="24.75" customHeight="1">
      <c r="A133" s="3" t="str">
        <f>"34892021110318270941303"</f>
        <v>34892021110318270941303</v>
      </c>
      <c r="B133" s="3" t="s">
        <v>33</v>
      </c>
      <c r="C133" s="3" t="str">
        <f>"李美桂"</f>
        <v>李美桂</v>
      </c>
      <c r="D133" s="3" t="s">
        <v>141</v>
      </c>
    </row>
    <row r="134" spans="1:4" ht="24.75" customHeight="1">
      <c r="A134" s="3" t="str">
        <f>"34892021110318400041338"</f>
        <v>34892021110318400041338</v>
      </c>
      <c r="B134" s="3" t="s">
        <v>33</v>
      </c>
      <c r="C134" s="3" t="str">
        <f>"孙雅娜"</f>
        <v>孙雅娜</v>
      </c>
      <c r="D134" s="3" t="s">
        <v>142</v>
      </c>
    </row>
    <row r="135" spans="1:4" ht="24.75" customHeight="1">
      <c r="A135" s="3" t="str">
        <f>"34892021110318432841340"</f>
        <v>34892021110318432841340</v>
      </c>
      <c r="B135" s="3" t="s">
        <v>33</v>
      </c>
      <c r="C135" s="3" t="str">
        <f>"黎宏政"</f>
        <v>黎宏政</v>
      </c>
      <c r="D135" s="3" t="s">
        <v>143</v>
      </c>
    </row>
    <row r="136" spans="1:4" ht="24.75" customHeight="1">
      <c r="A136" s="3" t="str">
        <f>"34892021110318471641349"</f>
        <v>34892021110318471641349</v>
      </c>
      <c r="B136" s="3" t="s">
        <v>33</v>
      </c>
      <c r="C136" s="3" t="str">
        <f>"王宝莲"</f>
        <v>王宝莲</v>
      </c>
      <c r="D136" s="3" t="s">
        <v>144</v>
      </c>
    </row>
    <row r="137" spans="1:4" ht="24.75" customHeight="1">
      <c r="A137" s="3" t="str">
        <f>"34892021110318564341371"</f>
        <v>34892021110318564341371</v>
      </c>
      <c r="B137" s="3" t="s">
        <v>33</v>
      </c>
      <c r="C137" s="3" t="str">
        <f>"林彩红"</f>
        <v>林彩红</v>
      </c>
      <c r="D137" s="3" t="s">
        <v>145</v>
      </c>
    </row>
    <row r="138" spans="1:4" ht="24.75" customHeight="1">
      <c r="A138" s="3" t="str">
        <f>"34892021110319105241394"</f>
        <v>34892021110319105241394</v>
      </c>
      <c r="B138" s="3" t="s">
        <v>33</v>
      </c>
      <c r="C138" s="3" t="str">
        <f>"陈翅洪"</f>
        <v>陈翅洪</v>
      </c>
      <c r="D138" s="3" t="s">
        <v>146</v>
      </c>
    </row>
    <row r="139" spans="1:4" ht="24.75" customHeight="1">
      <c r="A139" s="3" t="str">
        <f>"34892021110319194541415"</f>
        <v>34892021110319194541415</v>
      </c>
      <c r="B139" s="3" t="s">
        <v>33</v>
      </c>
      <c r="C139" s="3" t="str">
        <f>"王诒鹏"</f>
        <v>王诒鹏</v>
      </c>
      <c r="D139" s="3" t="s">
        <v>147</v>
      </c>
    </row>
    <row r="140" spans="1:4" ht="24.75" customHeight="1">
      <c r="A140" s="3" t="str">
        <f>"34892021110319222941423"</f>
        <v>34892021110319222941423</v>
      </c>
      <c r="B140" s="3" t="s">
        <v>33</v>
      </c>
      <c r="C140" s="3" t="str">
        <f>"王清香"</f>
        <v>王清香</v>
      </c>
      <c r="D140" s="3" t="s">
        <v>148</v>
      </c>
    </row>
    <row r="141" spans="1:4" ht="24.75" customHeight="1">
      <c r="A141" s="3" t="str">
        <f>"34892021110319424541484"</f>
        <v>34892021110319424541484</v>
      </c>
      <c r="B141" s="3" t="s">
        <v>33</v>
      </c>
      <c r="C141" s="3" t="str">
        <f>"梁其才"</f>
        <v>梁其才</v>
      </c>
      <c r="D141" s="3" t="s">
        <v>149</v>
      </c>
    </row>
    <row r="142" spans="1:4" ht="24.75" customHeight="1">
      <c r="A142" s="3" t="str">
        <f>"34892021110319464441495"</f>
        <v>34892021110319464441495</v>
      </c>
      <c r="B142" s="3" t="s">
        <v>33</v>
      </c>
      <c r="C142" s="3" t="str">
        <f>"王康涛"</f>
        <v>王康涛</v>
      </c>
      <c r="D142" s="3" t="s">
        <v>150</v>
      </c>
    </row>
    <row r="143" spans="1:4" ht="24.75" customHeight="1">
      <c r="A143" s="3" t="str">
        <f>"34892021110320282041604"</f>
        <v>34892021110320282041604</v>
      </c>
      <c r="B143" s="3" t="s">
        <v>33</v>
      </c>
      <c r="C143" s="3" t="str">
        <f>"符雪柔"</f>
        <v>符雪柔</v>
      </c>
      <c r="D143" s="3" t="s">
        <v>151</v>
      </c>
    </row>
    <row r="144" spans="1:4" ht="24.75" customHeight="1">
      <c r="A144" s="3" t="str">
        <f>"34892021110320303741610"</f>
        <v>34892021110320303741610</v>
      </c>
      <c r="B144" s="3" t="s">
        <v>33</v>
      </c>
      <c r="C144" s="3" t="str">
        <f>"王初乾"</f>
        <v>王初乾</v>
      </c>
      <c r="D144" s="3" t="s">
        <v>152</v>
      </c>
    </row>
    <row r="145" spans="1:4" ht="24.75" customHeight="1">
      <c r="A145" s="3" t="str">
        <f>"34892021110320403541645"</f>
        <v>34892021110320403541645</v>
      </c>
      <c r="B145" s="3" t="s">
        <v>33</v>
      </c>
      <c r="C145" s="3" t="str">
        <f>"王海雯"</f>
        <v>王海雯</v>
      </c>
      <c r="D145" s="3" t="s">
        <v>153</v>
      </c>
    </row>
    <row r="146" spans="1:4" ht="24.75" customHeight="1">
      <c r="A146" s="3" t="str">
        <f>"34892021110320475441669"</f>
        <v>34892021110320475441669</v>
      </c>
      <c r="B146" s="3" t="s">
        <v>33</v>
      </c>
      <c r="C146" s="3" t="str">
        <f>"罗富荣"</f>
        <v>罗富荣</v>
      </c>
      <c r="D146" s="3" t="s">
        <v>45</v>
      </c>
    </row>
    <row r="147" spans="1:4" ht="24.75" customHeight="1">
      <c r="A147" s="3" t="str">
        <f>"34892021110321101541747"</f>
        <v>34892021110321101541747</v>
      </c>
      <c r="B147" s="3" t="s">
        <v>33</v>
      </c>
      <c r="C147" s="3" t="str">
        <f>"潘琳正"</f>
        <v>潘琳正</v>
      </c>
      <c r="D147" s="3" t="s">
        <v>154</v>
      </c>
    </row>
    <row r="148" spans="1:4" ht="24.75" customHeight="1">
      <c r="A148" s="3" t="str">
        <f>"34892021110321180141766"</f>
        <v>34892021110321180141766</v>
      </c>
      <c r="B148" s="3" t="s">
        <v>33</v>
      </c>
      <c r="C148" s="3" t="str">
        <f>"李华曦"</f>
        <v>李华曦</v>
      </c>
      <c r="D148" s="3" t="s">
        <v>155</v>
      </c>
    </row>
    <row r="149" spans="1:4" ht="24.75" customHeight="1">
      <c r="A149" s="3" t="str">
        <f>"34892021110321285341805"</f>
        <v>34892021110321285341805</v>
      </c>
      <c r="B149" s="3" t="s">
        <v>33</v>
      </c>
      <c r="C149" s="3" t="str">
        <f>"符永佳"</f>
        <v>符永佳</v>
      </c>
      <c r="D149" s="3" t="s">
        <v>156</v>
      </c>
    </row>
    <row r="150" spans="1:4" ht="24.75" customHeight="1">
      <c r="A150" s="3" t="str">
        <f>"34892021110322033641906"</f>
        <v>34892021110322033641906</v>
      </c>
      <c r="B150" s="3" t="s">
        <v>33</v>
      </c>
      <c r="C150" s="3" t="str">
        <f>"李万内"</f>
        <v>李万内</v>
      </c>
      <c r="D150" s="3" t="s">
        <v>141</v>
      </c>
    </row>
    <row r="151" spans="1:4" ht="24.75" customHeight="1">
      <c r="A151" s="3" t="str">
        <f>"34892021110322114541933"</f>
        <v>34892021110322114541933</v>
      </c>
      <c r="B151" s="3" t="s">
        <v>33</v>
      </c>
      <c r="C151" s="3" t="str">
        <f>"吴丽芳"</f>
        <v>吴丽芳</v>
      </c>
      <c r="D151" s="3" t="s">
        <v>157</v>
      </c>
    </row>
    <row r="152" spans="1:4" ht="24.75" customHeight="1">
      <c r="A152" s="3" t="str">
        <f>"34892021110322201341955"</f>
        <v>34892021110322201341955</v>
      </c>
      <c r="B152" s="3" t="s">
        <v>33</v>
      </c>
      <c r="C152" s="3" t="str">
        <f>"李跃龙"</f>
        <v>李跃龙</v>
      </c>
      <c r="D152" s="3" t="s">
        <v>158</v>
      </c>
    </row>
    <row r="153" spans="1:4" ht="24.75" customHeight="1">
      <c r="A153" s="3" t="str">
        <f>"34892021110322430642023"</f>
        <v>34892021110322430642023</v>
      </c>
      <c r="B153" s="3" t="s">
        <v>33</v>
      </c>
      <c r="C153" s="3" t="str">
        <f>"王挺波"</f>
        <v>王挺波</v>
      </c>
      <c r="D153" s="3" t="s">
        <v>159</v>
      </c>
    </row>
    <row r="154" spans="1:4" ht="24.75" customHeight="1">
      <c r="A154" s="3" t="str">
        <f>"34892021110322472942038"</f>
        <v>34892021110322472942038</v>
      </c>
      <c r="B154" s="3" t="s">
        <v>33</v>
      </c>
      <c r="C154" s="3" t="str">
        <f>"黄冠宇"</f>
        <v>黄冠宇</v>
      </c>
      <c r="D154" s="3" t="s">
        <v>79</v>
      </c>
    </row>
    <row r="155" spans="1:4" ht="24.75" customHeight="1">
      <c r="A155" s="3" t="str">
        <f>"34892021110323022542072"</f>
        <v>34892021110323022542072</v>
      </c>
      <c r="B155" s="3" t="s">
        <v>33</v>
      </c>
      <c r="C155" s="3" t="str">
        <f>"兰敏"</f>
        <v>兰敏</v>
      </c>
      <c r="D155" s="3" t="s">
        <v>160</v>
      </c>
    </row>
    <row r="156" spans="1:4" ht="24.75" customHeight="1">
      <c r="A156" s="3" t="str">
        <f>"34892021110323110542092"</f>
        <v>34892021110323110542092</v>
      </c>
      <c r="B156" s="3" t="s">
        <v>33</v>
      </c>
      <c r="C156" s="3" t="str">
        <f>"刘海夏"</f>
        <v>刘海夏</v>
      </c>
      <c r="D156" s="3" t="s">
        <v>161</v>
      </c>
    </row>
    <row r="157" spans="1:4" ht="24.75" customHeight="1">
      <c r="A157" s="3" t="str">
        <f>"34892021110323371942136"</f>
        <v>34892021110323371942136</v>
      </c>
      <c r="B157" s="3" t="s">
        <v>33</v>
      </c>
      <c r="C157" s="3" t="str">
        <f>"王咸宇"</f>
        <v>王咸宇</v>
      </c>
      <c r="D157" s="3" t="s">
        <v>162</v>
      </c>
    </row>
    <row r="158" spans="1:4" ht="24.75" customHeight="1">
      <c r="A158" s="3" t="str">
        <f>"34892021110323392842139"</f>
        <v>34892021110323392842139</v>
      </c>
      <c r="B158" s="3" t="s">
        <v>33</v>
      </c>
      <c r="C158" s="3" t="str">
        <f>"麦伟高"</f>
        <v>麦伟高</v>
      </c>
      <c r="D158" s="3" t="s">
        <v>163</v>
      </c>
    </row>
    <row r="159" spans="1:4" ht="24.75" customHeight="1">
      <c r="A159" s="3" t="str">
        <f>"34892021110323503042153"</f>
        <v>34892021110323503042153</v>
      </c>
      <c r="B159" s="3" t="s">
        <v>33</v>
      </c>
      <c r="C159" s="3" t="str">
        <f>"王文清"</f>
        <v>王文清</v>
      </c>
      <c r="D159" s="3" t="s">
        <v>164</v>
      </c>
    </row>
    <row r="160" spans="1:4" ht="24.75" customHeight="1">
      <c r="A160" s="3" t="str">
        <f>"34892021110323560642162"</f>
        <v>34892021110323560642162</v>
      </c>
      <c r="B160" s="3" t="s">
        <v>33</v>
      </c>
      <c r="C160" s="3" t="str">
        <f>"李龙"</f>
        <v>李龙</v>
      </c>
      <c r="D160" s="3" t="s">
        <v>165</v>
      </c>
    </row>
    <row r="161" spans="1:4" ht="24.75" customHeight="1">
      <c r="A161" s="3" t="str">
        <f>"34892021110400310042189"</f>
        <v>34892021110400310042189</v>
      </c>
      <c r="B161" s="3" t="s">
        <v>33</v>
      </c>
      <c r="C161" s="3" t="str">
        <f>"洪起彪"</f>
        <v>洪起彪</v>
      </c>
      <c r="D161" s="3" t="s">
        <v>166</v>
      </c>
    </row>
    <row r="162" spans="1:4" ht="24.75" customHeight="1">
      <c r="A162" s="3" t="str">
        <f>"34892021110407560942258"</f>
        <v>34892021110407560942258</v>
      </c>
      <c r="B162" s="3" t="s">
        <v>33</v>
      </c>
      <c r="C162" s="3" t="str">
        <f>"徐雄姣"</f>
        <v>徐雄姣</v>
      </c>
      <c r="D162" s="3" t="s">
        <v>167</v>
      </c>
    </row>
    <row r="163" spans="1:4" ht="24.75" customHeight="1">
      <c r="A163" s="3" t="str">
        <f>"34892021110408065942266"</f>
        <v>34892021110408065942266</v>
      </c>
      <c r="B163" s="3" t="s">
        <v>33</v>
      </c>
      <c r="C163" s="3" t="str">
        <f>"廖景华"</f>
        <v>廖景华</v>
      </c>
      <c r="D163" s="3" t="s">
        <v>168</v>
      </c>
    </row>
    <row r="164" spans="1:4" ht="24.75" customHeight="1">
      <c r="A164" s="3" t="str">
        <f>"34892021110408224842286"</f>
        <v>34892021110408224842286</v>
      </c>
      <c r="B164" s="3" t="s">
        <v>33</v>
      </c>
      <c r="C164" s="3" t="str">
        <f>"陈福月"</f>
        <v>陈福月</v>
      </c>
      <c r="D164" s="3" t="s">
        <v>169</v>
      </c>
    </row>
    <row r="165" spans="1:4" ht="24.75" customHeight="1">
      <c r="A165" s="3" t="str">
        <f>"34892021110408281942295"</f>
        <v>34892021110408281942295</v>
      </c>
      <c r="B165" s="3" t="s">
        <v>33</v>
      </c>
      <c r="C165" s="3" t="str">
        <f>"蒲海英"</f>
        <v>蒲海英</v>
      </c>
      <c r="D165" s="3" t="s">
        <v>170</v>
      </c>
    </row>
    <row r="166" spans="1:4" ht="24.75" customHeight="1">
      <c r="A166" s="3" t="str">
        <f>"34892021110408361342310"</f>
        <v>34892021110408361342310</v>
      </c>
      <c r="B166" s="3" t="s">
        <v>33</v>
      </c>
      <c r="C166" s="3" t="str">
        <f>"王婉婷"</f>
        <v>王婉婷</v>
      </c>
      <c r="D166" s="3" t="s">
        <v>171</v>
      </c>
    </row>
    <row r="167" spans="1:4" ht="24.75" customHeight="1">
      <c r="A167" s="3" t="str">
        <f>"34892021110408395942321"</f>
        <v>34892021110408395942321</v>
      </c>
      <c r="B167" s="3" t="s">
        <v>33</v>
      </c>
      <c r="C167" s="3" t="str">
        <f>"王秋叶"</f>
        <v>王秋叶</v>
      </c>
      <c r="D167" s="3" t="s">
        <v>94</v>
      </c>
    </row>
    <row r="168" spans="1:4" ht="24.75" customHeight="1">
      <c r="A168" s="3" t="str">
        <f>"34892021110408552242358"</f>
        <v>34892021110408552242358</v>
      </c>
      <c r="B168" s="3" t="s">
        <v>33</v>
      </c>
      <c r="C168" s="3" t="str">
        <f>"邓刘平"</f>
        <v>邓刘平</v>
      </c>
      <c r="D168" s="3" t="s">
        <v>172</v>
      </c>
    </row>
    <row r="169" spans="1:4" ht="24.75" customHeight="1">
      <c r="A169" s="3" t="str">
        <f>"34892021110409234542443"</f>
        <v>34892021110409234542443</v>
      </c>
      <c r="B169" s="3" t="s">
        <v>33</v>
      </c>
      <c r="C169" s="3" t="str">
        <f>"符惠予"</f>
        <v>符惠予</v>
      </c>
      <c r="D169" s="3" t="s">
        <v>173</v>
      </c>
    </row>
    <row r="170" spans="1:4" ht="24.75" customHeight="1">
      <c r="A170" s="3" t="str">
        <f>"34892021110409245442449"</f>
        <v>34892021110409245442449</v>
      </c>
      <c r="B170" s="3" t="s">
        <v>33</v>
      </c>
      <c r="C170" s="3" t="str">
        <f>"胡小红"</f>
        <v>胡小红</v>
      </c>
      <c r="D170" s="3" t="s">
        <v>174</v>
      </c>
    </row>
    <row r="171" spans="1:4" ht="24.75" customHeight="1">
      <c r="A171" s="3" t="str">
        <f>"34892021110409255042451"</f>
        <v>34892021110409255042451</v>
      </c>
      <c r="B171" s="3" t="s">
        <v>33</v>
      </c>
      <c r="C171" s="3" t="str">
        <f>"李喜兰"</f>
        <v>李喜兰</v>
      </c>
      <c r="D171" s="3" t="s">
        <v>175</v>
      </c>
    </row>
    <row r="172" spans="1:4" ht="24.75" customHeight="1">
      <c r="A172" s="3" t="str">
        <f>"34892021110409281342457"</f>
        <v>34892021110409281342457</v>
      </c>
      <c r="B172" s="3" t="s">
        <v>33</v>
      </c>
      <c r="C172" s="3" t="str">
        <f>"李娟"</f>
        <v>李娟</v>
      </c>
      <c r="D172" s="3" t="s">
        <v>176</v>
      </c>
    </row>
    <row r="173" spans="1:4" ht="24.75" customHeight="1">
      <c r="A173" s="3" t="str">
        <f>"34892021110409304542462"</f>
        <v>34892021110409304542462</v>
      </c>
      <c r="B173" s="3" t="s">
        <v>33</v>
      </c>
      <c r="C173" s="3" t="str">
        <f>"黎雅娟"</f>
        <v>黎雅娟</v>
      </c>
      <c r="D173" s="3" t="s">
        <v>177</v>
      </c>
    </row>
    <row r="174" spans="1:4" ht="24.75" customHeight="1">
      <c r="A174" s="3" t="str">
        <f>"34892021110409411142492"</f>
        <v>34892021110409411142492</v>
      </c>
      <c r="B174" s="3" t="s">
        <v>33</v>
      </c>
      <c r="C174" s="3" t="str">
        <f>"郭丽明"</f>
        <v>郭丽明</v>
      </c>
      <c r="D174" s="3" t="s">
        <v>178</v>
      </c>
    </row>
    <row r="175" spans="1:4" ht="24.75" customHeight="1">
      <c r="A175" s="3" t="str">
        <f>"34892021110409435242500"</f>
        <v>34892021110409435242500</v>
      </c>
      <c r="B175" s="3" t="s">
        <v>33</v>
      </c>
      <c r="C175" s="3" t="str">
        <f>"李丹桂"</f>
        <v>李丹桂</v>
      </c>
      <c r="D175" s="3" t="s">
        <v>179</v>
      </c>
    </row>
    <row r="176" spans="1:4" ht="24.75" customHeight="1">
      <c r="A176" s="3" t="str">
        <f>"34892021110410192042612"</f>
        <v>34892021110410192042612</v>
      </c>
      <c r="B176" s="3" t="s">
        <v>33</v>
      </c>
      <c r="C176" s="3" t="str">
        <f>"张杏"</f>
        <v>张杏</v>
      </c>
      <c r="D176" s="3" t="s">
        <v>180</v>
      </c>
    </row>
    <row r="177" spans="1:4" ht="24.75" customHeight="1">
      <c r="A177" s="3" t="str">
        <f>"34892021110410205942618"</f>
        <v>34892021110410205942618</v>
      </c>
      <c r="B177" s="3" t="s">
        <v>33</v>
      </c>
      <c r="C177" s="3" t="str">
        <f>"苏应杰"</f>
        <v>苏应杰</v>
      </c>
      <c r="D177" s="3" t="s">
        <v>181</v>
      </c>
    </row>
    <row r="178" spans="1:4" ht="24.75" customHeight="1">
      <c r="A178" s="3" t="str">
        <f>"34892021110410313042657"</f>
        <v>34892021110410313042657</v>
      </c>
      <c r="B178" s="3" t="s">
        <v>33</v>
      </c>
      <c r="C178" s="3" t="str">
        <f>"张著桢"</f>
        <v>张著桢</v>
      </c>
      <c r="D178" s="3" t="s">
        <v>182</v>
      </c>
    </row>
    <row r="179" spans="1:4" ht="24.75" customHeight="1">
      <c r="A179" s="3" t="str">
        <f>"34892021110410502242735"</f>
        <v>34892021110410502242735</v>
      </c>
      <c r="B179" s="3" t="s">
        <v>33</v>
      </c>
      <c r="C179" s="3" t="str">
        <f>"黄聪天"</f>
        <v>黄聪天</v>
      </c>
      <c r="D179" s="3" t="s">
        <v>183</v>
      </c>
    </row>
    <row r="180" spans="1:4" ht="24.75" customHeight="1">
      <c r="A180" s="3" t="str">
        <f>"34892021110411051542784"</f>
        <v>34892021110411051542784</v>
      </c>
      <c r="B180" s="3" t="s">
        <v>33</v>
      </c>
      <c r="C180" s="3" t="str">
        <f>"范家训"</f>
        <v>范家训</v>
      </c>
      <c r="D180" s="3" t="s">
        <v>184</v>
      </c>
    </row>
    <row r="181" spans="1:4" ht="24.75" customHeight="1">
      <c r="A181" s="3" t="str">
        <f>"34892021110411160942819"</f>
        <v>34892021110411160942819</v>
      </c>
      <c r="B181" s="3" t="s">
        <v>33</v>
      </c>
      <c r="C181" s="3" t="str">
        <f>"吕世丹"</f>
        <v>吕世丹</v>
      </c>
      <c r="D181" s="3" t="s">
        <v>185</v>
      </c>
    </row>
    <row r="182" spans="1:4" ht="24.75" customHeight="1">
      <c r="A182" s="3" t="str">
        <f>"34892021110411283342860"</f>
        <v>34892021110411283342860</v>
      </c>
      <c r="B182" s="3" t="s">
        <v>33</v>
      </c>
      <c r="C182" s="3" t="str">
        <f>"邢文珍"</f>
        <v>邢文珍</v>
      </c>
      <c r="D182" s="3" t="s">
        <v>186</v>
      </c>
    </row>
    <row r="183" spans="1:4" ht="24.75" customHeight="1">
      <c r="A183" s="3" t="str">
        <f>"34892021110411332242870"</f>
        <v>34892021110411332242870</v>
      </c>
      <c r="B183" s="3" t="s">
        <v>33</v>
      </c>
      <c r="C183" s="3" t="str">
        <f>"吴卓里"</f>
        <v>吴卓里</v>
      </c>
      <c r="D183" s="3" t="s">
        <v>187</v>
      </c>
    </row>
    <row r="184" spans="1:4" ht="24.75" customHeight="1">
      <c r="A184" s="3" t="str">
        <f>"34892021110411423842896"</f>
        <v>34892021110411423842896</v>
      </c>
      <c r="B184" s="3" t="s">
        <v>33</v>
      </c>
      <c r="C184" s="3" t="str">
        <f>"劳添惠"</f>
        <v>劳添惠</v>
      </c>
      <c r="D184" s="3" t="s">
        <v>188</v>
      </c>
    </row>
    <row r="185" spans="1:4" ht="24.75" customHeight="1">
      <c r="A185" s="3" t="str">
        <f>"34892021110411510242919"</f>
        <v>34892021110411510242919</v>
      </c>
      <c r="B185" s="3" t="s">
        <v>33</v>
      </c>
      <c r="C185" s="3" t="str">
        <f>"蒲芳龙"</f>
        <v>蒲芳龙</v>
      </c>
      <c r="D185" s="3" t="s">
        <v>189</v>
      </c>
    </row>
    <row r="186" spans="1:4" ht="24.75" customHeight="1">
      <c r="A186" s="3" t="str">
        <f>"34892021110411553542923"</f>
        <v>34892021110411553542923</v>
      </c>
      <c r="B186" s="3" t="s">
        <v>33</v>
      </c>
      <c r="C186" s="3" t="str">
        <f>"吴卓基"</f>
        <v>吴卓基</v>
      </c>
      <c r="D186" s="3" t="s">
        <v>190</v>
      </c>
    </row>
    <row r="187" spans="1:4" ht="24.75" customHeight="1">
      <c r="A187" s="3" t="str">
        <f>"34892021110412042942942"</f>
        <v>34892021110412042942942</v>
      </c>
      <c r="B187" s="3" t="s">
        <v>33</v>
      </c>
      <c r="C187" s="3" t="str">
        <f>"李娟"</f>
        <v>李娟</v>
      </c>
      <c r="D187" s="3" t="s">
        <v>191</v>
      </c>
    </row>
    <row r="188" spans="1:4" ht="24.75" customHeight="1">
      <c r="A188" s="3" t="str">
        <f>"34892021110412265042984"</f>
        <v>34892021110412265042984</v>
      </c>
      <c r="B188" s="3" t="s">
        <v>33</v>
      </c>
      <c r="C188" s="3" t="str">
        <f>"许颖堃"</f>
        <v>许颖堃</v>
      </c>
      <c r="D188" s="3" t="s">
        <v>192</v>
      </c>
    </row>
    <row r="189" spans="1:4" ht="24.75" customHeight="1">
      <c r="A189" s="3" t="str">
        <f>"34892021110412490043017"</f>
        <v>34892021110412490043017</v>
      </c>
      <c r="B189" s="3" t="s">
        <v>33</v>
      </c>
      <c r="C189" s="3" t="str">
        <f>"王晗彤"</f>
        <v>王晗彤</v>
      </c>
      <c r="D189" s="3" t="s">
        <v>193</v>
      </c>
    </row>
    <row r="190" spans="1:4" ht="24.75" customHeight="1">
      <c r="A190" s="3" t="str">
        <f>"34892021110413002043042"</f>
        <v>34892021110413002043042</v>
      </c>
      <c r="B190" s="3" t="s">
        <v>33</v>
      </c>
      <c r="C190" s="3" t="str">
        <f>"王玉波"</f>
        <v>王玉波</v>
      </c>
      <c r="D190" s="3" t="s">
        <v>194</v>
      </c>
    </row>
    <row r="191" spans="1:4" ht="24.75" customHeight="1">
      <c r="A191" s="3" t="str">
        <f>"34892021110413070543057"</f>
        <v>34892021110413070543057</v>
      </c>
      <c r="B191" s="3" t="s">
        <v>33</v>
      </c>
      <c r="C191" s="3" t="str">
        <f>"林珍"</f>
        <v>林珍</v>
      </c>
      <c r="D191" s="3" t="s">
        <v>195</v>
      </c>
    </row>
    <row r="192" spans="1:4" ht="24.75" customHeight="1">
      <c r="A192" s="3" t="str">
        <f>"34892021110413314843098"</f>
        <v>34892021110413314843098</v>
      </c>
      <c r="B192" s="3" t="s">
        <v>33</v>
      </c>
      <c r="C192" s="3" t="str">
        <f>"唐瑾"</f>
        <v>唐瑾</v>
      </c>
      <c r="D192" s="3" t="s">
        <v>94</v>
      </c>
    </row>
    <row r="193" spans="1:4" ht="24.75" customHeight="1">
      <c r="A193" s="3" t="str">
        <f>"34892021110414202943163"</f>
        <v>34892021110414202943163</v>
      </c>
      <c r="B193" s="3" t="s">
        <v>33</v>
      </c>
      <c r="C193" s="3" t="str">
        <f>"邱颜"</f>
        <v>邱颜</v>
      </c>
      <c r="D193" s="3" t="s">
        <v>196</v>
      </c>
    </row>
    <row r="194" spans="1:4" ht="24.75" customHeight="1">
      <c r="A194" s="3" t="str">
        <f>"34892021110414485343227"</f>
        <v>34892021110414485343227</v>
      </c>
      <c r="B194" s="3" t="s">
        <v>33</v>
      </c>
      <c r="C194" s="3" t="str">
        <f>"蔡親海"</f>
        <v>蔡親海</v>
      </c>
      <c r="D194" s="3" t="s">
        <v>197</v>
      </c>
    </row>
    <row r="195" spans="1:4" ht="24.75" customHeight="1">
      <c r="A195" s="3" t="str">
        <f>"34892021110415085343271"</f>
        <v>34892021110415085343271</v>
      </c>
      <c r="B195" s="3" t="s">
        <v>33</v>
      </c>
      <c r="C195" s="3" t="str">
        <f>"倪成凤"</f>
        <v>倪成凤</v>
      </c>
      <c r="D195" s="3" t="s">
        <v>198</v>
      </c>
    </row>
    <row r="196" spans="1:4" ht="24.75" customHeight="1">
      <c r="A196" s="3" t="str">
        <f>"34892021110415282543338"</f>
        <v>34892021110415282543338</v>
      </c>
      <c r="B196" s="3" t="s">
        <v>33</v>
      </c>
      <c r="C196" s="3" t="str">
        <f>"吉晶晶"</f>
        <v>吉晶晶</v>
      </c>
      <c r="D196" s="3" t="s">
        <v>199</v>
      </c>
    </row>
    <row r="197" spans="1:4" ht="24.75" customHeight="1">
      <c r="A197" s="3" t="str">
        <f>"34892021110415350343355"</f>
        <v>34892021110415350343355</v>
      </c>
      <c r="B197" s="3" t="s">
        <v>33</v>
      </c>
      <c r="C197" s="3" t="str">
        <f>"王和宝"</f>
        <v>王和宝</v>
      </c>
      <c r="D197" s="3" t="s">
        <v>200</v>
      </c>
    </row>
    <row r="198" spans="1:4" ht="24.75" customHeight="1">
      <c r="A198" s="3" t="str">
        <f>"34892021110415420743373"</f>
        <v>34892021110415420743373</v>
      </c>
      <c r="B198" s="3" t="s">
        <v>33</v>
      </c>
      <c r="C198" s="3" t="str">
        <f>"林萍萍"</f>
        <v>林萍萍</v>
      </c>
      <c r="D198" s="3" t="s">
        <v>201</v>
      </c>
    </row>
    <row r="199" spans="1:4" ht="24.75" customHeight="1">
      <c r="A199" s="3" t="str">
        <f>"34892021110415573243419"</f>
        <v>34892021110415573243419</v>
      </c>
      <c r="B199" s="3" t="s">
        <v>33</v>
      </c>
      <c r="C199" s="3" t="str">
        <f>"郑天"</f>
        <v>郑天</v>
      </c>
      <c r="D199" s="3" t="s">
        <v>202</v>
      </c>
    </row>
    <row r="200" spans="1:4" ht="24.75" customHeight="1">
      <c r="A200" s="3" t="str">
        <f>"34892021110416132543462"</f>
        <v>34892021110416132543462</v>
      </c>
      <c r="B200" s="3" t="s">
        <v>33</v>
      </c>
      <c r="C200" s="3" t="str">
        <f>"张彩琴"</f>
        <v>张彩琴</v>
      </c>
      <c r="D200" s="3" t="s">
        <v>203</v>
      </c>
    </row>
    <row r="201" spans="1:4" ht="24.75" customHeight="1">
      <c r="A201" s="3" t="str">
        <f>"34892021110416365443521"</f>
        <v>34892021110416365443521</v>
      </c>
      <c r="B201" s="3" t="s">
        <v>33</v>
      </c>
      <c r="C201" s="3" t="str">
        <f>"董慧敏"</f>
        <v>董慧敏</v>
      </c>
      <c r="D201" s="3" t="s">
        <v>204</v>
      </c>
    </row>
    <row r="202" spans="1:4" ht="24.75" customHeight="1">
      <c r="A202" s="3" t="str">
        <f>"34892021110416502843559"</f>
        <v>34892021110416502843559</v>
      </c>
      <c r="B202" s="3" t="s">
        <v>33</v>
      </c>
      <c r="C202" s="3" t="str">
        <f>"陈美琼"</f>
        <v>陈美琼</v>
      </c>
      <c r="D202" s="3" t="s">
        <v>205</v>
      </c>
    </row>
    <row r="203" spans="1:4" ht="24.75" customHeight="1">
      <c r="A203" s="3" t="str">
        <f>"34892021110416575643580"</f>
        <v>34892021110416575643580</v>
      </c>
      <c r="B203" s="3" t="s">
        <v>33</v>
      </c>
      <c r="C203" s="3" t="str">
        <f>"王小敏"</f>
        <v>王小敏</v>
      </c>
      <c r="D203" s="3" t="s">
        <v>206</v>
      </c>
    </row>
    <row r="204" spans="1:4" ht="24.75" customHeight="1">
      <c r="A204" s="3" t="str">
        <f>"34892021110417091143601"</f>
        <v>34892021110417091143601</v>
      </c>
      <c r="B204" s="3" t="s">
        <v>33</v>
      </c>
      <c r="C204" s="3" t="str">
        <f>"杨武"</f>
        <v>杨武</v>
      </c>
      <c r="D204" s="3" t="s">
        <v>207</v>
      </c>
    </row>
    <row r="205" spans="1:4" ht="24.75" customHeight="1">
      <c r="A205" s="3" t="str">
        <f>"34892021110417153043617"</f>
        <v>34892021110417153043617</v>
      </c>
      <c r="B205" s="3" t="s">
        <v>33</v>
      </c>
      <c r="C205" s="3" t="str">
        <f>"王妹"</f>
        <v>王妹</v>
      </c>
      <c r="D205" s="3" t="s">
        <v>208</v>
      </c>
    </row>
    <row r="206" spans="1:4" ht="24.75" customHeight="1">
      <c r="A206" s="3" t="str">
        <f>"34892021110417191143625"</f>
        <v>34892021110417191143625</v>
      </c>
      <c r="B206" s="3" t="s">
        <v>33</v>
      </c>
      <c r="C206" s="3" t="str">
        <f>"王娟"</f>
        <v>王娟</v>
      </c>
      <c r="D206" s="3" t="s">
        <v>209</v>
      </c>
    </row>
    <row r="207" spans="1:4" ht="24.75" customHeight="1">
      <c r="A207" s="3" t="str">
        <f>"34892021110417565443697"</f>
        <v>34892021110417565443697</v>
      </c>
      <c r="B207" s="3" t="s">
        <v>33</v>
      </c>
      <c r="C207" s="3" t="str">
        <f>"苏丽萍"</f>
        <v>苏丽萍</v>
      </c>
      <c r="D207" s="3" t="s">
        <v>210</v>
      </c>
    </row>
    <row r="208" spans="1:4" ht="24.75" customHeight="1">
      <c r="A208" s="3" t="str">
        <f>"34892021110418325243756"</f>
        <v>34892021110418325243756</v>
      </c>
      <c r="B208" s="3" t="s">
        <v>33</v>
      </c>
      <c r="C208" s="3" t="str">
        <f>"顾逢杰"</f>
        <v>顾逢杰</v>
      </c>
      <c r="D208" s="3" t="s">
        <v>211</v>
      </c>
    </row>
    <row r="209" spans="1:4" ht="24.75" customHeight="1">
      <c r="A209" s="3" t="str">
        <f>"34892021110418381643764"</f>
        <v>34892021110418381643764</v>
      </c>
      <c r="B209" s="3" t="s">
        <v>33</v>
      </c>
      <c r="C209" s="3" t="str">
        <f>"陈彩儿"</f>
        <v>陈彩儿</v>
      </c>
      <c r="D209" s="3" t="s">
        <v>212</v>
      </c>
    </row>
    <row r="210" spans="1:4" ht="24.75" customHeight="1">
      <c r="A210" s="3" t="str">
        <f>"34892021110418490743782"</f>
        <v>34892021110418490743782</v>
      </c>
      <c r="B210" s="3" t="s">
        <v>33</v>
      </c>
      <c r="C210" s="3" t="str">
        <f>"苏豪"</f>
        <v>苏豪</v>
      </c>
      <c r="D210" s="3" t="s">
        <v>213</v>
      </c>
    </row>
    <row r="211" spans="1:4" ht="24.75" customHeight="1">
      <c r="A211" s="3" t="str">
        <f>"34892021110418495143785"</f>
        <v>34892021110418495143785</v>
      </c>
      <c r="B211" s="3" t="s">
        <v>33</v>
      </c>
      <c r="C211" s="3" t="str">
        <f>"郑惠"</f>
        <v>郑惠</v>
      </c>
      <c r="D211" s="3" t="s">
        <v>214</v>
      </c>
    </row>
    <row r="212" spans="1:4" ht="24.75" customHeight="1">
      <c r="A212" s="3" t="str">
        <f>"34892021110419231543832"</f>
        <v>34892021110419231543832</v>
      </c>
      <c r="B212" s="3" t="s">
        <v>33</v>
      </c>
      <c r="C212" s="3" t="str">
        <f>"王仕铭"</f>
        <v>王仕铭</v>
      </c>
      <c r="D212" s="3" t="s">
        <v>215</v>
      </c>
    </row>
    <row r="213" spans="1:4" ht="24.75" customHeight="1">
      <c r="A213" s="3" t="str">
        <f>"34892021110419294743843"</f>
        <v>34892021110419294743843</v>
      </c>
      <c r="B213" s="3" t="s">
        <v>33</v>
      </c>
      <c r="C213" s="3" t="str">
        <f>"韦吉烨"</f>
        <v>韦吉烨</v>
      </c>
      <c r="D213" s="3" t="s">
        <v>216</v>
      </c>
    </row>
    <row r="214" spans="1:4" ht="24.75" customHeight="1">
      <c r="A214" s="3" t="str">
        <f>"34892021110420004843908"</f>
        <v>34892021110420004843908</v>
      </c>
      <c r="B214" s="3" t="s">
        <v>33</v>
      </c>
      <c r="C214" s="3" t="str">
        <f>"温小英"</f>
        <v>温小英</v>
      </c>
      <c r="D214" s="3" t="s">
        <v>217</v>
      </c>
    </row>
    <row r="215" spans="1:4" ht="24.75" customHeight="1">
      <c r="A215" s="3" t="str">
        <f>"34892021110420020243913"</f>
        <v>34892021110420020243913</v>
      </c>
      <c r="B215" s="3" t="s">
        <v>33</v>
      </c>
      <c r="C215" s="3" t="str">
        <f>"符桓"</f>
        <v>符桓</v>
      </c>
      <c r="D215" s="3" t="s">
        <v>218</v>
      </c>
    </row>
    <row r="216" spans="1:4" ht="24.75" customHeight="1">
      <c r="A216" s="3" t="str">
        <f>"34892021110420182143943"</f>
        <v>34892021110420182143943</v>
      </c>
      <c r="B216" s="3" t="s">
        <v>33</v>
      </c>
      <c r="C216" s="3" t="str">
        <f>"王微"</f>
        <v>王微</v>
      </c>
      <c r="D216" s="3" t="s">
        <v>219</v>
      </c>
    </row>
    <row r="217" spans="1:4" ht="24.75" customHeight="1">
      <c r="A217" s="3" t="str">
        <f>"34892021110420550644018"</f>
        <v>34892021110420550644018</v>
      </c>
      <c r="B217" s="3" t="s">
        <v>33</v>
      </c>
      <c r="C217" s="3" t="str">
        <f>"吕仕广"</f>
        <v>吕仕广</v>
      </c>
      <c r="D217" s="3" t="s">
        <v>220</v>
      </c>
    </row>
    <row r="218" spans="1:4" ht="24.75" customHeight="1">
      <c r="A218" s="3" t="str">
        <f>"34892021110421141044062"</f>
        <v>34892021110421141044062</v>
      </c>
      <c r="B218" s="3" t="s">
        <v>33</v>
      </c>
      <c r="C218" s="3" t="str">
        <f>"陈小宝"</f>
        <v>陈小宝</v>
      </c>
      <c r="D218" s="3" t="s">
        <v>221</v>
      </c>
    </row>
    <row r="219" spans="1:4" ht="24.75" customHeight="1">
      <c r="A219" s="3" t="str">
        <f>"34892021110421382344121"</f>
        <v>34892021110421382344121</v>
      </c>
      <c r="B219" s="3" t="s">
        <v>33</v>
      </c>
      <c r="C219" s="3" t="str">
        <f>"陈铭蔚"</f>
        <v>陈铭蔚</v>
      </c>
      <c r="D219" s="3" t="s">
        <v>222</v>
      </c>
    </row>
    <row r="220" spans="1:4" ht="24.75" customHeight="1">
      <c r="A220" s="3" t="str">
        <f>"34892021110421423844128"</f>
        <v>34892021110421423844128</v>
      </c>
      <c r="B220" s="3" t="s">
        <v>33</v>
      </c>
      <c r="C220" s="3" t="str">
        <f>"张竟文"</f>
        <v>张竟文</v>
      </c>
      <c r="D220" s="3" t="s">
        <v>223</v>
      </c>
    </row>
    <row r="221" spans="1:4" ht="24.75" customHeight="1">
      <c r="A221" s="3" t="str">
        <f>"34892021110421494144141"</f>
        <v>34892021110421494144141</v>
      </c>
      <c r="B221" s="3" t="s">
        <v>33</v>
      </c>
      <c r="C221" s="3" t="str">
        <f>"沈明远"</f>
        <v>沈明远</v>
      </c>
      <c r="D221" s="3" t="s">
        <v>224</v>
      </c>
    </row>
    <row r="222" spans="1:4" ht="24.75" customHeight="1">
      <c r="A222" s="3" t="str">
        <f>"34892021110421584044162"</f>
        <v>34892021110421584044162</v>
      </c>
      <c r="B222" s="3" t="s">
        <v>33</v>
      </c>
      <c r="C222" s="3" t="str">
        <f>"梁小燕"</f>
        <v>梁小燕</v>
      </c>
      <c r="D222" s="3" t="s">
        <v>225</v>
      </c>
    </row>
    <row r="223" spans="1:4" ht="24.75" customHeight="1">
      <c r="A223" s="3" t="str">
        <f>"34892021110422155344195"</f>
        <v>34892021110422155344195</v>
      </c>
      <c r="B223" s="3" t="s">
        <v>33</v>
      </c>
      <c r="C223" s="3" t="str">
        <f>"杨昌为"</f>
        <v>杨昌为</v>
      </c>
      <c r="D223" s="3" t="s">
        <v>226</v>
      </c>
    </row>
    <row r="224" spans="1:4" ht="24.75" customHeight="1">
      <c r="A224" s="3" t="str">
        <f>"34892021110422504044260"</f>
        <v>34892021110422504044260</v>
      </c>
      <c r="B224" s="3" t="s">
        <v>33</v>
      </c>
      <c r="C224" s="3" t="str">
        <f>"王英怀"</f>
        <v>王英怀</v>
      </c>
      <c r="D224" s="3" t="s">
        <v>227</v>
      </c>
    </row>
    <row r="225" spans="1:4" ht="24.75" customHeight="1">
      <c r="A225" s="3" t="str">
        <f>"34892021110422551744272"</f>
        <v>34892021110422551744272</v>
      </c>
      <c r="B225" s="3" t="s">
        <v>33</v>
      </c>
      <c r="C225" s="3" t="str">
        <f>"吴加嘉"</f>
        <v>吴加嘉</v>
      </c>
      <c r="D225" s="3" t="s">
        <v>228</v>
      </c>
    </row>
    <row r="226" spans="1:4" ht="24.75" customHeight="1">
      <c r="A226" s="3" t="str">
        <f>"34892021110423272244315"</f>
        <v>34892021110423272244315</v>
      </c>
      <c r="B226" s="3" t="s">
        <v>33</v>
      </c>
      <c r="C226" s="3" t="str">
        <f>"唐多莺"</f>
        <v>唐多莺</v>
      </c>
      <c r="D226" s="3" t="s">
        <v>229</v>
      </c>
    </row>
    <row r="227" spans="1:4" ht="24.75" customHeight="1">
      <c r="A227" s="3" t="str">
        <f>"34892021110500300344354"</f>
        <v>34892021110500300344354</v>
      </c>
      <c r="B227" s="3" t="s">
        <v>33</v>
      </c>
      <c r="C227" s="3" t="str">
        <f>"王育群"</f>
        <v>王育群</v>
      </c>
      <c r="D227" s="3" t="s">
        <v>230</v>
      </c>
    </row>
    <row r="228" spans="1:4" ht="24.75" customHeight="1">
      <c r="A228" s="3" t="str">
        <f>"34892021110505340044380"</f>
        <v>34892021110505340044380</v>
      </c>
      <c r="B228" s="3" t="s">
        <v>33</v>
      </c>
      <c r="C228" s="3" t="str">
        <f>"陈大卫"</f>
        <v>陈大卫</v>
      </c>
      <c r="D228" s="3" t="s">
        <v>231</v>
      </c>
    </row>
    <row r="229" spans="1:4" ht="24.75" customHeight="1">
      <c r="A229" s="3" t="str">
        <f>"34892021110508234844436"</f>
        <v>34892021110508234844436</v>
      </c>
      <c r="B229" s="3" t="s">
        <v>33</v>
      </c>
      <c r="C229" s="3" t="str">
        <f>"李云珠"</f>
        <v>李云珠</v>
      </c>
      <c r="D229" s="3" t="s">
        <v>232</v>
      </c>
    </row>
    <row r="230" spans="1:4" ht="24.75" customHeight="1">
      <c r="A230" s="3" t="str">
        <f>"34892021110509232944565"</f>
        <v>34892021110509232944565</v>
      </c>
      <c r="B230" s="3" t="s">
        <v>33</v>
      </c>
      <c r="C230" s="3" t="str">
        <f>"林小娜"</f>
        <v>林小娜</v>
      </c>
      <c r="D230" s="3" t="s">
        <v>233</v>
      </c>
    </row>
    <row r="231" spans="1:4" ht="24.75" customHeight="1">
      <c r="A231" s="3" t="str">
        <f>"34892021110509250944570"</f>
        <v>34892021110509250944570</v>
      </c>
      <c r="B231" s="3" t="s">
        <v>33</v>
      </c>
      <c r="C231" s="3" t="str">
        <f>"陈花香"</f>
        <v>陈花香</v>
      </c>
      <c r="D231" s="3" t="s">
        <v>234</v>
      </c>
    </row>
    <row r="232" spans="1:4" ht="24.75" customHeight="1">
      <c r="A232" s="3" t="str">
        <f>"34892021110509484744634"</f>
        <v>34892021110509484744634</v>
      </c>
      <c r="B232" s="3" t="s">
        <v>33</v>
      </c>
      <c r="C232" s="3" t="str">
        <f>"王广杨"</f>
        <v>王广杨</v>
      </c>
      <c r="D232" s="3" t="s">
        <v>235</v>
      </c>
    </row>
    <row r="233" spans="1:4" ht="24.75" customHeight="1">
      <c r="A233" s="3" t="str">
        <f>"34892021110510174644711"</f>
        <v>34892021110510174644711</v>
      </c>
      <c r="B233" s="3" t="s">
        <v>33</v>
      </c>
      <c r="C233" s="3" t="str">
        <f>"王鹏珠"</f>
        <v>王鹏珠</v>
      </c>
      <c r="D233" s="3" t="s">
        <v>236</v>
      </c>
    </row>
    <row r="234" spans="1:4" ht="24.75" customHeight="1">
      <c r="A234" s="3" t="str">
        <f>"34892021110510280544749"</f>
        <v>34892021110510280544749</v>
      </c>
      <c r="B234" s="3" t="s">
        <v>33</v>
      </c>
      <c r="C234" s="3" t="str">
        <f>"吴钟明"</f>
        <v>吴钟明</v>
      </c>
      <c r="D234" s="3" t="s">
        <v>237</v>
      </c>
    </row>
    <row r="235" spans="1:4" ht="24.75" customHeight="1">
      <c r="A235" s="3" t="str">
        <f>"34892021110510474944798"</f>
        <v>34892021110510474944798</v>
      </c>
      <c r="B235" s="3" t="s">
        <v>33</v>
      </c>
      <c r="C235" s="3" t="str">
        <f>"郑杰友"</f>
        <v>郑杰友</v>
      </c>
      <c r="D235" s="3" t="s">
        <v>238</v>
      </c>
    </row>
    <row r="236" spans="1:4" ht="24.75" customHeight="1">
      <c r="A236" s="3" t="str">
        <f>"34892021110511275144907"</f>
        <v>34892021110511275144907</v>
      </c>
      <c r="B236" s="3" t="s">
        <v>33</v>
      </c>
      <c r="C236" s="3" t="str">
        <f>"杜琪琪"</f>
        <v>杜琪琪</v>
      </c>
      <c r="D236" s="3" t="s">
        <v>239</v>
      </c>
    </row>
    <row r="237" spans="1:4" ht="24.75" customHeight="1">
      <c r="A237" s="3" t="str">
        <f>"34892021110511574244986"</f>
        <v>34892021110511574244986</v>
      </c>
      <c r="B237" s="3" t="s">
        <v>33</v>
      </c>
      <c r="C237" s="3" t="str">
        <f>"黄婷"</f>
        <v>黄婷</v>
      </c>
      <c r="D237" s="3" t="s">
        <v>240</v>
      </c>
    </row>
    <row r="238" spans="1:4" ht="24.75" customHeight="1">
      <c r="A238" s="3" t="str">
        <f>"34892021110512000044991"</f>
        <v>34892021110512000044991</v>
      </c>
      <c r="B238" s="3" t="s">
        <v>33</v>
      </c>
      <c r="C238" s="3" t="str">
        <f>"王娟"</f>
        <v>王娟</v>
      </c>
      <c r="D238" s="3" t="s">
        <v>241</v>
      </c>
    </row>
    <row r="239" spans="1:4" ht="24.75" customHeight="1">
      <c r="A239" s="3" t="str">
        <f>"34892021110512242745022"</f>
        <v>34892021110512242745022</v>
      </c>
      <c r="B239" s="3" t="s">
        <v>33</v>
      </c>
      <c r="C239" s="3" t="str">
        <f>"吴丽贞"</f>
        <v>吴丽贞</v>
      </c>
      <c r="D239" s="3" t="s">
        <v>242</v>
      </c>
    </row>
    <row r="240" spans="1:4" ht="24.75" customHeight="1">
      <c r="A240" s="3" t="str">
        <f>"34892021110512400145051"</f>
        <v>34892021110512400145051</v>
      </c>
      <c r="B240" s="3" t="s">
        <v>33</v>
      </c>
      <c r="C240" s="3" t="str">
        <f>"王夏颖"</f>
        <v>王夏颖</v>
      </c>
      <c r="D240" s="3" t="s">
        <v>243</v>
      </c>
    </row>
    <row r="241" spans="1:4" ht="24.75" customHeight="1">
      <c r="A241" s="3" t="str">
        <f>"34892021110512512045078"</f>
        <v>34892021110512512045078</v>
      </c>
      <c r="B241" s="3" t="s">
        <v>33</v>
      </c>
      <c r="C241" s="3" t="str">
        <f>"刘爱建"</f>
        <v>刘爱建</v>
      </c>
      <c r="D241" s="3" t="s">
        <v>244</v>
      </c>
    </row>
    <row r="242" spans="1:4" ht="24.75" customHeight="1">
      <c r="A242" s="3" t="str">
        <f>"34892021110512540045087"</f>
        <v>34892021110512540045087</v>
      </c>
      <c r="B242" s="3" t="s">
        <v>33</v>
      </c>
      <c r="C242" s="3" t="str">
        <f>"陈祖厚"</f>
        <v>陈祖厚</v>
      </c>
      <c r="D242" s="3" t="s">
        <v>245</v>
      </c>
    </row>
    <row r="243" spans="1:4" ht="24.75" customHeight="1">
      <c r="A243" s="3" t="str">
        <f>"34892021110513130445117"</f>
        <v>34892021110513130445117</v>
      </c>
      <c r="B243" s="3" t="s">
        <v>33</v>
      </c>
      <c r="C243" s="3" t="str">
        <f>"高小穗"</f>
        <v>高小穗</v>
      </c>
      <c r="D243" s="3" t="s">
        <v>246</v>
      </c>
    </row>
    <row r="244" spans="1:4" ht="24.75" customHeight="1">
      <c r="A244" s="3" t="str">
        <f>"34892021110513183745132"</f>
        <v>34892021110513183745132</v>
      </c>
      <c r="B244" s="3" t="s">
        <v>33</v>
      </c>
      <c r="C244" s="3" t="str">
        <f>"王秋和"</f>
        <v>王秋和</v>
      </c>
      <c r="D244" s="3" t="s">
        <v>247</v>
      </c>
    </row>
    <row r="245" spans="1:4" ht="24.75" customHeight="1">
      <c r="A245" s="3" t="str">
        <f>"34892021110513531845189"</f>
        <v>34892021110513531845189</v>
      </c>
      <c r="B245" s="3" t="s">
        <v>33</v>
      </c>
      <c r="C245" s="3" t="str">
        <f>"杜雨宣"</f>
        <v>杜雨宣</v>
      </c>
      <c r="D245" s="3" t="s">
        <v>248</v>
      </c>
    </row>
    <row r="246" spans="1:4" ht="24.75" customHeight="1">
      <c r="A246" s="3" t="str">
        <f>"34892021110514384445266"</f>
        <v>34892021110514384445266</v>
      </c>
      <c r="B246" s="3" t="s">
        <v>33</v>
      </c>
      <c r="C246" s="3" t="str">
        <f>"符成巍"</f>
        <v>符成巍</v>
      </c>
      <c r="D246" s="3" t="s">
        <v>249</v>
      </c>
    </row>
    <row r="247" spans="1:4" ht="24.75" customHeight="1">
      <c r="A247" s="3" t="str">
        <f>"34892021110515023545328"</f>
        <v>34892021110515023545328</v>
      </c>
      <c r="B247" s="3" t="s">
        <v>33</v>
      </c>
      <c r="C247" s="3" t="str">
        <f>"王小东"</f>
        <v>王小东</v>
      </c>
      <c r="D247" s="3" t="s">
        <v>250</v>
      </c>
    </row>
    <row r="248" spans="1:4" ht="24.75" customHeight="1">
      <c r="A248" s="3" t="str">
        <f>"34892021110515111445357"</f>
        <v>34892021110515111445357</v>
      </c>
      <c r="B248" s="3" t="s">
        <v>33</v>
      </c>
      <c r="C248" s="3" t="str">
        <f>"张怡峰"</f>
        <v>张怡峰</v>
      </c>
      <c r="D248" s="3" t="s">
        <v>251</v>
      </c>
    </row>
    <row r="249" spans="1:4" ht="24.75" customHeight="1">
      <c r="A249" s="3" t="str">
        <f>"34892021110515135245365"</f>
        <v>34892021110515135245365</v>
      </c>
      <c r="B249" s="3" t="s">
        <v>33</v>
      </c>
      <c r="C249" s="3" t="str">
        <f>"胡佳运"</f>
        <v>胡佳运</v>
      </c>
      <c r="D249" s="3" t="s">
        <v>252</v>
      </c>
    </row>
    <row r="250" spans="1:4" ht="24.75" customHeight="1">
      <c r="A250" s="3" t="str">
        <f>"34892021110515140345366"</f>
        <v>34892021110515140345366</v>
      </c>
      <c r="B250" s="3" t="s">
        <v>33</v>
      </c>
      <c r="C250" s="3" t="str">
        <f>"王鹏"</f>
        <v>王鹏</v>
      </c>
      <c r="D250" s="3" t="s">
        <v>253</v>
      </c>
    </row>
    <row r="251" spans="1:4" ht="24.75" customHeight="1">
      <c r="A251" s="3" t="str">
        <f>"34892021110515151145368"</f>
        <v>34892021110515151145368</v>
      </c>
      <c r="B251" s="3" t="s">
        <v>33</v>
      </c>
      <c r="C251" s="3" t="str">
        <f>"莫庄文"</f>
        <v>莫庄文</v>
      </c>
      <c r="D251" s="3" t="s">
        <v>254</v>
      </c>
    </row>
    <row r="252" spans="1:4" ht="24.75" customHeight="1">
      <c r="A252" s="3" t="str">
        <f>"34892021110515162445375"</f>
        <v>34892021110515162445375</v>
      </c>
      <c r="B252" s="3" t="s">
        <v>33</v>
      </c>
      <c r="C252" s="3" t="str">
        <f>"韦晓慧"</f>
        <v>韦晓慧</v>
      </c>
      <c r="D252" s="3" t="s">
        <v>255</v>
      </c>
    </row>
    <row r="253" spans="1:4" ht="24.75" customHeight="1">
      <c r="A253" s="3" t="str">
        <f>"34892021110515313645436"</f>
        <v>34892021110515313645436</v>
      </c>
      <c r="B253" s="3" t="s">
        <v>33</v>
      </c>
      <c r="C253" s="3" t="str">
        <f>"冯晓芬"</f>
        <v>冯晓芬</v>
      </c>
      <c r="D253" s="3" t="s">
        <v>256</v>
      </c>
    </row>
    <row r="254" spans="1:4" ht="24.75" customHeight="1">
      <c r="A254" s="3" t="str">
        <f>"34892021110515444145487"</f>
        <v>34892021110515444145487</v>
      </c>
      <c r="B254" s="3" t="s">
        <v>33</v>
      </c>
      <c r="C254" s="3" t="str">
        <f>"杨小婵"</f>
        <v>杨小婵</v>
      </c>
      <c r="D254" s="3" t="s">
        <v>257</v>
      </c>
    </row>
    <row r="255" spans="1:4" ht="24.75" customHeight="1">
      <c r="A255" s="3" t="str">
        <f>"34892021110515450145489"</f>
        <v>34892021110515450145489</v>
      </c>
      <c r="B255" s="3" t="s">
        <v>33</v>
      </c>
      <c r="C255" s="3" t="str">
        <f>"王小月"</f>
        <v>王小月</v>
      </c>
      <c r="D255" s="3" t="s">
        <v>258</v>
      </c>
    </row>
    <row r="256" spans="1:4" ht="24.75" customHeight="1">
      <c r="A256" s="3" t="str">
        <f>"34892021110515582545551"</f>
        <v>34892021110515582545551</v>
      </c>
      <c r="B256" s="3" t="s">
        <v>33</v>
      </c>
      <c r="C256" s="3" t="str">
        <f>"莫镕蔚"</f>
        <v>莫镕蔚</v>
      </c>
      <c r="D256" s="3" t="s">
        <v>259</v>
      </c>
    </row>
    <row r="257" spans="1:4" ht="24.75" customHeight="1">
      <c r="A257" s="3" t="str">
        <f>"34892021110516170445586"</f>
        <v>34892021110516170445586</v>
      </c>
      <c r="B257" s="3" t="s">
        <v>33</v>
      </c>
      <c r="C257" s="3" t="str">
        <f>"符青"</f>
        <v>符青</v>
      </c>
      <c r="D257" s="3" t="s">
        <v>260</v>
      </c>
    </row>
    <row r="258" spans="1:4" ht="24.75" customHeight="1">
      <c r="A258" s="3" t="str">
        <f>"34892021110516260745603"</f>
        <v>34892021110516260745603</v>
      </c>
      <c r="B258" s="3" t="s">
        <v>33</v>
      </c>
      <c r="C258" s="3" t="str">
        <f>"邓献梓"</f>
        <v>邓献梓</v>
      </c>
      <c r="D258" s="3" t="s">
        <v>261</v>
      </c>
    </row>
    <row r="259" spans="1:4" ht="24.75" customHeight="1">
      <c r="A259" s="3" t="str">
        <f>"34892021110516484445638"</f>
        <v>34892021110516484445638</v>
      </c>
      <c r="B259" s="3" t="s">
        <v>33</v>
      </c>
      <c r="C259" s="3" t="str">
        <f>"吴乙"</f>
        <v>吴乙</v>
      </c>
      <c r="D259" s="3" t="s">
        <v>262</v>
      </c>
    </row>
    <row r="260" spans="1:4" ht="24.75" customHeight="1">
      <c r="A260" s="3" t="str">
        <f>"34892021110516485445640"</f>
        <v>34892021110516485445640</v>
      </c>
      <c r="B260" s="3" t="s">
        <v>33</v>
      </c>
      <c r="C260" s="3" t="str">
        <f>"王淇"</f>
        <v>王淇</v>
      </c>
      <c r="D260" s="3" t="s">
        <v>263</v>
      </c>
    </row>
    <row r="261" spans="1:4" ht="24.75" customHeight="1">
      <c r="A261" s="3" t="str">
        <f>"34892021110517102945685"</f>
        <v>34892021110517102945685</v>
      </c>
      <c r="B261" s="3" t="s">
        <v>33</v>
      </c>
      <c r="C261" s="3" t="str">
        <f>"林传琨"</f>
        <v>林传琨</v>
      </c>
      <c r="D261" s="3" t="s">
        <v>264</v>
      </c>
    </row>
    <row r="262" spans="1:4" ht="24.75" customHeight="1">
      <c r="A262" s="3" t="str">
        <f>"34892021110517255445709"</f>
        <v>34892021110517255445709</v>
      </c>
      <c r="B262" s="3" t="s">
        <v>33</v>
      </c>
      <c r="C262" s="3" t="str">
        <f>"朱绵敬"</f>
        <v>朱绵敬</v>
      </c>
      <c r="D262" s="3" t="s">
        <v>265</v>
      </c>
    </row>
    <row r="263" spans="1:4" ht="24.75" customHeight="1">
      <c r="A263" s="3" t="str">
        <f>"34892021110517474845726"</f>
        <v>34892021110517474845726</v>
      </c>
      <c r="B263" s="3" t="s">
        <v>33</v>
      </c>
      <c r="C263" s="3" t="str">
        <f>"符造珊"</f>
        <v>符造珊</v>
      </c>
      <c r="D263" s="3" t="s">
        <v>266</v>
      </c>
    </row>
    <row r="264" spans="1:4" ht="24.75" customHeight="1">
      <c r="A264" s="3" t="str">
        <f>"34892021110518144545753"</f>
        <v>34892021110518144545753</v>
      </c>
      <c r="B264" s="3" t="s">
        <v>33</v>
      </c>
      <c r="C264" s="3" t="str">
        <f>"翁琳琳"</f>
        <v>翁琳琳</v>
      </c>
      <c r="D264" s="3" t="s">
        <v>267</v>
      </c>
    </row>
    <row r="265" spans="1:4" ht="24.75" customHeight="1">
      <c r="A265" s="3" t="str">
        <f>"34892021110518190845758"</f>
        <v>34892021110518190845758</v>
      </c>
      <c r="B265" s="3" t="s">
        <v>33</v>
      </c>
      <c r="C265" s="3" t="str">
        <f>"王森"</f>
        <v>王森</v>
      </c>
      <c r="D265" s="3" t="s">
        <v>268</v>
      </c>
    </row>
    <row r="266" spans="1:4" ht="24.75" customHeight="1">
      <c r="A266" s="3" t="str">
        <f>"34892021110518331645771"</f>
        <v>34892021110518331645771</v>
      </c>
      <c r="B266" s="3" t="s">
        <v>33</v>
      </c>
      <c r="C266" s="3" t="str">
        <f>"李健"</f>
        <v>李健</v>
      </c>
      <c r="D266" s="3" t="s">
        <v>269</v>
      </c>
    </row>
    <row r="267" spans="1:4" ht="24.75" customHeight="1">
      <c r="A267" s="3" t="str">
        <f>"34892021110518503345782"</f>
        <v>34892021110518503345782</v>
      </c>
      <c r="B267" s="3" t="s">
        <v>33</v>
      </c>
      <c r="C267" s="3" t="str">
        <f>"王淑"</f>
        <v>王淑</v>
      </c>
      <c r="D267" s="3" t="s">
        <v>270</v>
      </c>
    </row>
    <row r="268" spans="1:4" ht="24.75" customHeight="1">
      <c r="A268" s="3" t="str">
        <f>"34892021110519005845787"</f>
        <v>34892021110519005845787</v>
      </c>
      <c r="B268" s="3" t="s">
        <v>33</v>
      </c>
      <c r="C268" s="3" t="str">
        <f>"陈力平"</f>
        <v>陈力平</v>
      </c>
      <c r="D268" s="3" t="s">
        <v>271</v>
      </c>
    </row>
    <row r="269" spans="1:4" ht="24.75" customHeight="1">
      <c r="A269" s="3" t="str">
        <f>"34892021110519024645789"</f>
        <v>34892021110519024645789</v>
      </c>
      <c r="B269" s="3" t="s">
        <v>33</v>
      </c>
      <c r="C269" s="3" t="str">
        <f>"张星琦"</f>
        <v>张星琦</v>
      </c>
      <c r="D269" s="3" t="s">
        <v>272</v>
      </c>
    </row>
    <row r="270" spans="1:4" ht="24.75" customHeight="1">
      <c r="A270" s="3" t="str">
        <f>"34892021110520223945845"</f>
        <v>34892021110520223945845</v>
      </c>
      <c r="B270" s="3" t="s">
        <v>33</v>
      </c>
      <c r="C270" s="3" t="str">
        <f>"符万森"</f>
        <v>符万森</v>
      </c>
      <c r="D270" s="3" t="s">
        <v>273</v>
      </c>
    </row>
    <row r="271" spans="1:4" ht="24.75" customHeight="1">
      <c r="A271" s="3" t="str">
        <f>"34892021110520263245847"</f>
        <v>34892021110520263245847</v>
      </c>
      <c r="B271" s="3" t="s">
        <v>33</v>
      </c>
      <c r="C271" s="3" t="str">
        <f>"杜海玎"</f>
        <v>杜海玎</v>
      </c>
      <c r="D271" s="3" t="s">
        <v>274</v>
      </c>
    </row>
    <row r="272" spans="1:4" ht="24.75" customHeight="1">
      <c r="A272" s="3" t="str">
        <f>"34892021110520293145848"</f>
        <v>34892021110520293145848</v>
      </c>
      <c r="B272" s="3" t="s">
        <v>33</v>
      </c>
      <c r="C272" s="3" t="str">
        <f>"林珍妮"</f>
        <v>林珍妮</v>
      </c>
      <c r="D272" s="3" t="s">
        <v>275</v>
      </c>
    </row>
    <row r="273" spans="1:4" ht="24.75" customHeight="1">
      <c r="A273" s="3" t="str">
        <f>"34892021110521185145892"</f>
        <v>34892021110521185145892</v>
      </c>
      <c r="B273" s="3" t="s">
        <v>33</v>
      </c>
      <c r="C273" s="3" t="str">
        <f>"王业权"</f>
        <v>王业权</v>
      </c>
      <c r="D273" s="3" t="s">
        <v>276</v>
      </c>
    </row>
    <row r="274" spans="1:4" ht="24.75" customHeight="1">
      <c r="A274" s="3" t="str">
        <f>"34892021110522174245940"</f>
        <v>34892021110522174245940</v>
      </c>
      <c r="B274" s="3" t="s">
        <v>33</v>
      </c>
      <c r="C274" s="3" t="str">
        <f>"吴维翔"</f>
        <v>吴维翔</v>
      </c>
      <c r="D274" s="3" t="s">
        <v>277</v>
      </c>
    </row>
    <row r="275" spans="1:4" ht="24.75" customHeight="1">
      <c r="A275" s="3" t="str">
        <f>"34892021110522223245943"</f>
        <v>34892021110522223245943</v>
      </c>
      <c r="B275" s="3" t="s">
        <v>33</v>
      </c>
      <c r="C275" s="3" t="str">
        <f>"彭瑞霖"</f>
        <v>彭瑞霖</v>
      </c>
      <c r="D275" s="3" t="s">
        <v>278</v>
      </c>
    </row>
    <row r="276" spans="1:4" ht="24.75" customHeight="1">
      <c r="A276" s="3" t="str">
        <f>"34892021110522503345972"</f>
        <v>34892021110522503345972</v>
      </c>
      <c r="B276" s="3" t="s">
        <v>33</v>
      </c>
      <c r="C276" s="3" t="str">
        <f>"张政"</f>
        <v>张政</v>
      </c>
      <c r="D276" s="3" t="s">
        <v>279</v>
      </c>
    </row>
    <row r="277" spans="1:4" ht="24.75" customHeight="1">
      <c r="A277" s="3" t="str">
        <f>"34892021110522520245973"</f>
        <v>34892021110522520245973</v>
      </c>
      <c r="B277" s="3" t="s">
        <v>33</v>
      </c>
      <c r="C277" s="3" t="str">
        <f>"薛桃丽"</f>
        <v>薛桃丽</v>
      </c>
      <c r="D277" s="3" t="s">
        <v>280</v>
      </c>
    </row>
    <row r="278" spans="1:4" ht="24.75" customHeight="1">
      <c r="A278" s="3" t="str">
        <f>"34892021110523482446016"</f>
        <v>34892021110523482446016</v>
      </c>
      <c r="B278" s="3" t="s">
        <v>33</v>
      </c>
      <c r="C278" s="3" t="str">
        <f>"李秋阳"</f>
        <v>李秋阳</v>
      </c>
      <c r="D278" s="3" t="s">
        <v>281</v>
      </c>
    </row>
    <row r="279" spans="1:4" ht="24.75" customHeight="1">
      <c r="A279" s="3" t="str">
        <f>"34892021110608245646063"</f>
        <v>34892021110608245646063</v>
      </c>
      <c r="B279" s="3" t="s">
        <v>33</v>
      </c>
      <c r="C279" s="3" t="str">
        <f>"陈美妙"</f>
        <v>陈美妙</v>
      </c>
      <c r="D279" s="3" t="s">
        <v>282</v>
      </c>
    </row>
    <row r="280" spans="1:4" ht="24.75" customHeight="1">
      <c r="A280" s="3" t="str">
        <f>"34892021110608341146071"</f>
        <v>34892021110608341146071</v>
      </c>
      <c r="B280" s="3" t="s">
        <v>33</v>
      </c>
      <c r="C280" s="3" t="str">
        <f>"吴争胜"</f>
        <v>吴争胜</v>
      </c>
      <c r="D280" s="3" t="s">
        <v>283</v>
      </c>
    </row>
    <row r="281" spans="1:4" ht="24.75" customHeight="1">
      <c r="A281" s="3" t="str">
        <f>"34892021110610365646135"</f>
        <v>34892021110610365646135</v>
      </c>
      <c r="B281" s="3" t="s">
        <v>33</v>
      </c>
      <c r="C281" s="3" t="str">
        <f>"吴丽双"</f>
        <v>吴丽双</v>
      </c>
      <c r="D281" s="3" t="s">
        <v>284</v>
      </c>
    </row>
    <row r="282" spans="1:4" ht="24.75" customHeight="1">
      <c r="A282" s="3" t="str">
        <f>"34892021110610394246138"</f>
        <v>34892021110610394246138</v>
      </c>
      <c r="B282" s="3" t="s">
        <v>33</v>
      </c>
      <c r="C282" s="3" t="str">
        <f>"符馨尹"</f>
        <v>符馨尹</v>
      </c>
      <c r="D282" s="3" t="s">
        <v>285</v>
      </c>
    </row>
    <row r="283" spans="1:4" ht="24.75" customHeight="1">
      <c r="A283" s="3" t="str">
        <f>"34892021110611274246184"</f>
        <v>34892021110611274246184</v>
      </c>
      <c r="B283" s="3" t="s">
        <v>33</v>
      </c>
      <c r="C283" s="3" t="str">
        <f>"陈丽丽"</f>
        <v>陈丽丽</v>
      </c>
      <c r="D283" s="3" t="s">
        <v>286</v>
      </c>
    </row>
    <row r="284" spans="1:4" ht="24.75" customHeight="1">
      <c r="A284" s="3" t="str">
        <f>"34892021110612110446216"</f>
        <v>34892021110612110446216</v>
      </c>
      <c r="B284" s="3" t="s">
        <v>33</v>
      </c>
      <c r="C284" s="3" t="str">
        <f>"王晓航"</f>
        <v>王晓航</v>
      </c>
      <c r="D284" s="3" t="s">
        <v>287</v>
      </c>
    </row>
    <row r="285" spans="1:4" ht="24.75" customHeight="1">
      <c r="A285" s="3" t="str">
        <f>"34892021110613574546273"</f>
        <v>34892021110613574546273</v>
      </c>
      <c r="B285" s="3" t="s">
        <v>33</v>
      </c>
      <c r="C285" s="3" t="str">
        <f>"陈正翠"</f>
        <v>陈正翠</v>
      </c>
      <c r="D285" s="3" t="s">
        <v>288</v>
      </c>
    </row>
    <row r="286" spans="1:4" ht="24.75" customHeight="1">
      <c r="A286" s="3" t="str">
        <f>"34892021110614443246297"</f>
        <v>34892021110614443246297</v>
      </c>
      <c r="B286" s="3" t="s">
        <v>33</v>
      </c>
      <c r="C286" s="3" t="str">
        <f>"王足英"</f>
        <v>王足英</v>
      </c>
      <c r="D286" s="3" t="s">
        <v>289</v>
      </c>
    </row>
    <row r="287" spans="1:4" ht="24.75" customHeight="1">
      <c r="A287" s="3" t="str">
        <f>"34892021110616023746348"</f>
        <v>34892021110616023746348</v>
      </c>
      <c r="B287" s="3" t="s">
        <v>33</v>
      </c>
      <c r="C287" s="3" t="str">
        <f>"梁振杰"</f>
        <v>梁振杰</v>
      </c>
      <c r="D287" s="3" t="s">
        <v>290</v>
      </c>
    </row>
    <row r="288" spans="1:4" ht="24.75" customHeight="1">
      <c r="A288" s="3" t="str">
        <f>"34892021110616465746382"</f>
        <v>34892021110616465746382</v>
      </c>
      <c r="B288" s="3" t="s">
        <v>33</v>
      </c>
      <c r="C288" s="3" t="str">
        <f>"何晓玲"</f>
        <v>何晓玲</v>
      </c>
      <c r="D288" s="3" t="s">
        <v>291</v>
      </c>
    </row>
    <row r="289" spans="1:4" ht="24.75" customHeight="1">
      <c r="A289" s="3" t="str">
        <f>"34892021110616480646384"</f>
        <v>34892021110616480646384</v>
      </c>
      <c r="B289" s="3" t="s">
        <v>33</v>
      </c>
      <c r="C289" s="3" t="str">
        <f>"梁峻"</f>
        <v>梁峻</v>
      </c>
      <c r="D289" s="3" t="s">
        <v>292</v>
      </c>
    </row>
    <row r="290" spans="1:4" ht="24.75" customHeight="1">
      <c r="A290" s="3" t="str">
        <f>"34892021110617552546423"</f>
        <v>34892021110617552546423</v>
      </c>
      <c r="B290" s="3" t="s">
        <v>33</v>
      </c>
      <c r="C290" s="3" t="str">
        <f>"黄雅格"</f>
        <v>黄雅格</v>
      </c>
      <c r="D290" s="3" t="s">
        <v>293</v>
      </c>
    </row>
    <row r="291" spans="1:4" ht="24.75" customHeight="1">
      <c r="A291" s="3" t="str">
        <f>"34892021110619194646462"</f>
        <v>34892021110619194646462</v>
      </c>
      <c r="B291" s="3" t="s">
        <v>33</v>
      </c>
      <c r="C291" s="3" t="str">
        <f>"王彦"</f>
        <v>王彦</v>
      </c>
      <c r="D291" s="3" t="s">
        <v>294</v>
      </c>
    </row>
    <row r="292" spans="1:4" ht="24.75" customHeight="1">
      <c r="A292" s="3" t="str">
        <f>"34892021110620004646479"</f>
        <v>34892021110620004646479</v>
      </c>
      <c r="B292" s="3" t="s">
        <v>33</v>
      </c>
      <c r="C292" s="3" t="str">
        <f>"周翔"</f>
        <v>周翔</v>
      </c>
      <c r="D292" s="3" t="s">
        <v>295</v>
      </c>
    </row>
    <row r="293" spans="1:4" ht="24.75" customHeight="1">
      <c r="A293" s="3" t="str">
        <f>"34892021110620095746486"</f>
        <v>34892021110620095746486</v>
      </c>
      <c r="B293" s="3" t="s">
        <v>33</v>
      </c>
      <c r="C293" s="3" t="str">
        <f>"陈金梅"</f>
        <v>陈金梅</v>
      </c>
      <c r="D293" s="3" t="s">
        <v>296</v>
      </c>
    </row>
    <row r="294" spans="1:4" ht="24.75" customHeight="1">
      <c r="A294" s="3" t="str">
        <f>"34892021110621432746540"</f>
        <v>34892021110621432746540</v>
      </c>
      <c r="B294" s="3" t="s">
        <v>33</v>
      </c>
      <c r="C294" s="3" t="str">
        <f>"杨杰"</f>
        <v>杨杰</v>
      </c>
      <c r="D294" s="3" t="s">
        <v>297</v>
      </c>
    </row>
    <row r="295" spans="1:4" ht="24.75" customHeight="1">
      <c r="A295" s="3" t="str">
        <f>"34892021110622400446583"</f>
        <v>34892021110622400446583</v>
      </c>
      <c r="B295" s="3" t="s">
        <v>33</v>
      </c>
      <c r="C295" s="3" t="str">
        <f>"王幸"</f>
        <v>王幸</v>
      </c>
      <c r="D295" s="3" t="s">
        <v>298</v>
      </c>
    </row>
    <row r="296" spans="1:4" ht="24.75" customHeight="1">
      <c r="A296" s="3" t="str">
        <f>"34892021110623293646623"</f>
        <v>34892021110623293646623</v>
      </c>
      <c r="B296" s="3" t="s">
        <v>33</v>
      </c>
      <c r="C296" s="3" t="str">
        <f>"吴传曼"</f>
        <v>吴传曼</v>
      </c>
      <c r="D296" s="3" t="s">
        <v>299</v>
      </c>
    </row>
    <row r="297" spans="1:4" ht="24.75" customHeight="1">
      <c r="A297" s="3" t="str">
        <f>"34892021110708141746661"</f>
        <v>34892021110708141746661</v>
      </c>
      <c r="B297" s="3" t="s">
        <v>33</v>
      </c>
      <c r="C297" s="3" t="str">
        <f>"陈晓林"</f>
        <v>陈晓林</v>
      </c>
      <c r="D297" s="3" t="s">
        <v>300</v>
      </c>
    </row>
    <row r="298" spans="1:4" ht="24.75" customHeight="1">
      <c r="A298" s="3" t="str">
        <f>"34892021110708352446667"</f>
        <v>34892021110708352446667</v>
      </c>
      <c r="B298" s="3" t="s">
        <v>33</v>
      </c>
      <c r="C298" s="3" t="str">
        <f>"张才容"</f>
        <v>张才容</v>
      </c>
      <c r="D298" s="3" t="s">
        <v>301</v>
      </c>
    </row>
    <row r="299" spans="1:4" ht="24.75" customHeight="1">
      <c r="A299" s="3" t="str">
        <f>"34892021110710134746721"</f>
        <v>34892021110710134746721</v>
      </c>
      <c r="B299" s="3" t="s">
        <v>33</v>
      </c>
      <c r="C299" s="3" t="str">
        <f>"陈学辉"</f>
        <v>陈学辉</v>
      </c>
      <c r="D299" s="3" t="s">
        <v>302</v>
      </c>
    </row>
    <row r="300" spans="1:4" ht="24.75" customHeight="1">
      <c r="A300" s="3" t="str">
        <f>"34892021110710382446739"</f>
        <v>34892021110710382446739</v>
      </c>
      <c r="B300" s="3" t="s">
        <v>33</v>
      </c>
      <c r="C300" s="3" t="str">
        <f>"林泽"</f>
        <v>林泽</v>
      </c>
      <c r="D300" s="3" t="s">
        <v>303</v>
      </c>
    </row>
    <row r="301" spans="1:4" ht="24.75" customHeight="1">
      <c r="A301" s="3" t="str">
        <f>"34892021110710405246740"</f>
        <v>34892021110710405246740</v>
      </c>
      <c r="B301" s="3" t="s">
        <v>33</v>
      </c>
      <c r="C301" s="3" t="str">
        <f>"毛雨薇"</f>
        <v>毛雨薇</v>
      </c>
      <c r="D301" s="3" t="s">
        <v>304</v>
      </c>
    </row>
    <row r="302" spans="1:4" ht="24.75" customHeight="1">
      <c r="A302" s="3" t="str">
        <f>"34892021110711064746753"</f>
        <v>34892021110711064746753</v>
      </c>
      <c r="B302" s="3" t="s">
        <v>33</v>
      </c>
      <c r="C302" s="3" t="str">
        <f>"李恒锋"</f>
        <v>李恒锋</v>
      </c>
      <c r="D302" s="3" t="s">
        <v>305</v>
      </c>
    </row>
    <row r="303" spans="1:4" ht="24.75" customHeight="1">
      <c r="A303" s="3" t="str">
        <f>"34892021110711525346782"</f>
        <v>34892021110711525346782</v>
      </c>
      <c r="B303" s="3" t="s">
        <v>33</v>
      </c>
      <c r="C303" s="3" t="str">
        <f>"吴小托"</f>
        <v>吴小托</v>
      </c>
      <c r="D303" s="3" t="s">
        <v>306</v>
      </c>
    </row>
    <row r="304" spans="1:4" ht="24.75" customHeight="1">
      <c r="A304" s="3" t="str">
        <f>"34892021110712354646804"</f>
        <v>34892021110712354646804</v>
      </c>
      <c r="B304" s="3" t="s">
        <v>33</v>
      </c>
      <c r="C304" s="3" t="str">
        <f>"王朝"</f>
        <v>王朝</v>
      </c>
      <c r="D304" s="3" t="s">
        <v>307</v>
      </c>
    </row>
    <row r="305" spans="1:4" ht="24.75" customHeight="1">
      <c r="A305" s="3" t="str">
        <f>"34892021110712524546812"</f>
        <v>34892021110712524546812</v>
      </c>
      <c r="B305" s="3" t="s">
        <v>33</v>
      </c>
      <c r="C305" s="3" t="str">
        <f>"吉训豪"</f>
        <v>吉训豪</v>
      </c>
      <c r="D305" s="3" t="s">
        <v>308</v>
      </c>
    </row>
    <row r="306" spans="1:4" ht="24.75" customHeight="1">
      <c r="A306" s="3" t="str">
        <f>"34892021110713010646819"</f>
        <v>34892021110713010646819</v>
      </c>
      <c r="B306" s="3" t="s">
        <v>33</v>
      </c>
      <c r="C306" s="3" t="str">
        <f>"符祥策"</f>
        <v>符祥策</v>
      </c>
      <c r="D306" s="3" t="s">
        <v>309</v>
      </c>
    </row>
    <row r="307" spans="1:4" ht="24.75" customHeight="1">
      <c r="A307" s="3" t="str">
        <f>"34892021110713133346827"</f>
        <v>34892021110713133346827</v>
      </c>
      <c r="B307" s="3" t="s">
        <v>33</v>
      </c>
      <c r="C307" s="3" t="str">
        <f>"王芳玉"</f>
        <v>王芳玉</v>
      </c>
      <c r="D307" s="3" t="s">
        <v>310</v>
      </c>
    </row>
    <row r="308" spans="1:4" ht="24.75" customHeight="1">
      <c r="A308" s="3" t="str">
        <f>"34892021110713444046843"</f>
        <v>34892021110713444046843</v>
      </c>
      <c r="B308" s="3" t="s">
        <v>33</v>
      </c>
      <c r="C308" s="3" t="str">
        <f>"蔡亲科"</f>
        <v>蔡亲科</v>
      </c>
      <c r="D308" s="3" t="s">
        <v>311</v>
      </c>
    </row>
    <row r="309" spans="1:4" ht="24.75" customHeight="1">
      <c r="A309" s="3" t="str">
        <f>"34892021110714073946855"</f>
        <v>34892021110714073946855</v>
      </c>
      <c r="B309" s="3" t="s">
        <v>33</v>
      </c>
      <c r="C309" s="3" t="str">
        <f>"洪颜"</f>
        <v>洪颜</v>
      </c>
      <c r="D309" s="3" t="s">
        <v>312</v>
      </c>
    </row>
    <row r="310" spans="1:4" ht="24.75" customHeight="1">
      <c r="A310" s="3" t="str">
        <f>"34892021110714113346857"</f>
        <v>34892021110714113346857</v>
      </c>
      <c r="B310" s="3" t="s">
        <v>33</v>
      </c>
      <c r="C310" s="3" t="str">
        <f>"李贤"</f>
        <v>李贤</v>
      </c>
      <c r="D310" s="3" t="s">
        <v>313</v>
      </c>
    </row>
    <row r="311" spans="1:4" ht="24.75" customHeight="1">
      <c r="A311" s="3" t="str">
        <f>"34892021110715004646884"</f>
        <v>34892021110715004646884</v>
      </c>
      <c r="B311" s="3" t="s">
        <v>33</v>
      </c>
      <c r="C311" s="3" t="str">
        <f>"刘廷钟"</f>
        <v>刘廷钟</v>
      </c>
      <c r="D311" s="3" t="s">
        <v>314</v>
      </c>
    </row>
    <row r="312" spans="1:4" ht="24.75" customHeight="1">
      <c r="A312" s="3" t="str">
        <f>"34892021110715381646911"</f>
        <v>34892021110715381646911</v>
      </c>
      <c r="B312" s="3" t="s">
        <v>33</v>
      </c>
      <c r="C312" s="3" t="str">
        <f>"王春婷"</f>
        <v>王春婷</v>
      </c>
      <c r="D312" s="3" t="s">
        <v>315</v>
      </c>
    </row>
    <row r="313" spans="1:4" ht="24.75" customHeight="1">
      <c r="A313" s="3" t="str">
        <f>"34892021110715490546917"</f>
        <v>34892021110715490546917</v>
      </c>
      <c r="B313" s="3" t="s">
        <v>33</v>
      </c>
      <c r="C313" s="3" t="str">
        <f>"蒙颖盈"</f>
        <v>蒙颖盈</v>
      </c>
      <c r="D313" s="3" t="s">
        <v>316</v>
      </c>
    </row>
    <row r="314" spans="1:4" ht="24.75" customHeight="1">
      <c r="A314" s="3" t="str">
        <f>"34892021110716283946942"</f>
        <v>34892021110716283946942</v>
      </c>
      <c r="B314" s="3" t="s">
        <v>33</v>
      </c>
      <c r="C314" s="3" t="str">
        <f>"王佳珏"</f>
        <v>王佳珏</v>
      </c>
      <c r="D314" s="3" t="s">
        <v>317</v>
      </c>
    </row>
    <row r="315" spans="1:4" ht="24.75" customHeight="1">
      <c r="A315" s="3" t="str">
        <f>"34892021110716343846949"</f>
        <v>34892021110716343846949</v>
      </c>
      <c r="B315" s="3" t="s">
        <v>33</v>
      </c>
      <c r="C315" s="3" t="str">
        <f>"张浩峥"</f>
        <v>张浩峥</v>
      </c>
      <c r="D315" s="3" t="s">
        <v>318</v>
      </c>
    </row>
    <row r="316" spans="1:4" ht="24.75" customHeight="1">
      <c r="A316" s="3" t="str">
        <f>"34892021110717190646977"</f>
        <v>34892021110717190646977</v>
      </c>
      <c r="B316" s="3" t="s">
        <v>33</v>
      </c>
      <c r="C316" s="3" t="str">
        <f>"李云英"</f>
        <v>李云英</v>
      </c>
      <c r="D316" s="3" t="s">
        <v>319</v>
      </c>
    </row>
    <row r="317" spans="1:4" ht="24.75" customHeight="1">
      <c r="A317" s="3" t="str">
        <f>"34892021110717204746981"</f>
        <v>34892021110717204746981</v>
      </c>
      <c r="B317" s="3" t="s">
        <v>33</v>
      </c>
      <c r="C317" s="3" t="str">
        <f>"朱珈宇"</f>
        <v>朱珈宇</v>
      </c>
      <c r="D317" s="3" t="s">
        <v>320</v>
      </c>
    </row>
    <row r="318" spans="1:4" ht="24.75" customHeight="1">
      <c r="A318" s="3" t="str">
        <f>"34892021110717434146993"</f>
        <v>34892021110717434146993</v>
      </c>
      <c r="B318" s="3" t="s">
        <v>33</v>
      </c>
      <c r="C318" s="3" t="str">
        <f>"彭芳梅"</f>
        <v>彭芳梅</v>
      </c>
      <c r="D318" s="3" t="s">
        <v>321</v>
      </c>
    </row>
    <row r="319" spans="1:4" ht="24.75" customHeight="1">
      <c r="A319" s="3" t="str">
        <f>"34892021110717443146994"</f>
        <v>34892021110717443146994</v>
      </c>
      <c r="B319" s="3" t="s">
        <v>33</v>
      </c>
      <c r="C319" s="3" t="str">
        <f>"何儒杰"</f>
        <v>何儒杰</v>
      </c>
      <c r="D319" s="3" t="s">
        <v>111</v>
      </c>
    </row>
    <row r="320" spans="1:4" ht="24.75" customHeight="1">
      <c r="A320" s="3" t="str">
        <f>"34892021110718045047009"</f>
        <v>34892021110718045047009</v>
      </c>
      <c r="B320" s="3" t="s">
        <v>33</v>
      </c>
      <c r="C320" s="3" t="str">
        <f>"陈仲沼"</f>
        <v>陈仲沼</v>
      </c>
      <c r="D320" s="3" t="s">
        <v>322</v>
      </c>
    </row>
    <row r="321" spans="1:4" ht="24.75" customHeight="1">
      <c r="A321" s="3" t="str">
        <f>"34892021110718260847023"</f>
        <v>34892021110718260847023</v>
      </c>
      <c r="B321" s="3" t="s">
        <v>33</v>
      </c>
      <c r="C321" s="3" t="str">
        <f>"曾鹏"</f>
        <v>曾鹏</v>
      </c>
      <c r="D321" s="3" t="s">
        <v>323</v>
      </c>
    </row>
    <row r="322" spans="1:4" ht="24.75" customHeight="1">
      <c r="A322" s="3" t="str">
        <f>"34892021110718392647028"</f>
        <v>34892021110718392647028</v>
      </c>
      <c r="B322" s="3" t="s">
        <v>33</v>
      </c>
      <c r="C322" s="3" t="str">
        <f>"黄思"</f>
        <v>黄思</v>
      </c>
      <c r="D322" s="3" t="s">
        <v>324</v>
      </c>
    </row>
    <row r="323" spans="1:4" ht="24.75" customHeight="1">
      <c r="A323" s="3" t="str">
        <f>"34892021110721134047119"</f>
        <v>34892021110721134047119</v>
      </c>
      <c r="B323" s="3" t="s">
        <v>33</v>
      </c>
      <c r="C323" s="3" t="str">
        <f>"李思莹"</f>
        <v>李思莹</v>
      </c>
      <c r="D323" s="3" t="s">
        <v>325</v>
      </c>
    </row>
    <row r="324" spans="1:4" ht="24.75" customHeight="1">
      <c r="A324" s="3" t="str">
        <f>"34892021110721233347130"</f>
        <v>34892021110721233347130</v>
      </c>
      <c r="B324" s="3" t="s">
        <v>33</v>
      </c>
      <c r="C324" s="3" t="str">
        <f>"郑小雪"</f>
        <v>郑小雪</v>
      </c>
      <c r="D324" s="3" t="s">
        <v>326</v>
      </c>
    </row>
    <row r="325" spans="1:4" ht="24.75" customHeight="1">
      <c r="A325" s="3" t="str">
        <f>"34892021110721320947138"</f>
        <v>34892021110721320947138</v>
      </c>
      <c r="B325" s="3" t="s">
        <v>33</v>
      </c>
      <c r="C325" s="3" t="str">
        <f>"杨茹茹"</f>
        <v>杨茹茹</v>
      </c>
      <c r="D325" s="3" t="s">
        <v>327</v>
      </c>
    </row>
    <row r="326" spans="1:4" ht="24.75" customHeight="1">
      <c r="A326" s="3" t="str">
        <f>"34892021110722383547198"</f>
        <v>34892021110722383547198</v>
      </c>
      <c r="B326" s="3" t="s">
        <v>33</v>
      </c>
      <c r="C326" s="3" t="str">
        <f>"王叶"</f>
        <v>王叶</v>
      </c>
      <c r="D326" s="3" t="s">
        <v>328</v>
      </c>
    </row>
    <row r="327" spans="1:4" ht="24.75" customHeight="1">
      <c r="A327" s="3" t="str">
        <f>"34892021110723152347228"</f>
        <v>34892021110723152347228</v>
      </c>
      <c r="B327" s="3" t="s">
        <v>33</v>
      </c>
      <c r="C327" s="3" t="str">
        <f>"钟秋苡"</f>
        <v>钟秋苡</v>
      </c>
      <c r="D327" s="3" t="s">
        <v>26</v>
      </c>
    </row>
    <row r="328" spans="1:4" ht="24.75" customHeight="1">
      <c r="A328" s="3" t="str">
        <f>"34892021110723331147240"</f>
        <v>34892021110723331147240</v>
      </c>
      <c r="B328" s="3" t="s">
        <v>33</v>
      </c>
      <c r="C328" s="3" t="str">
        <f>"陈静"</f>
        <v>陈静</v>
      </c>
      <c r="D328" s="3" t="s">
        <v>329</v>
      </c>
    </row>
    <row r="329" spans="1:4" ht="24.75" customHeight="1">
      <c r="A329" s="3" t="str">
        <f>"34892021110723433647252"</f>
        <v>34892021110723433647252</v>
      </c>
      <c r="B329" s="3" t="s">
        <v>33</v>
      </c>
      <c r="C329" s="3" t="str">
        <f>"蒙景"</f>
        <v>蒙景</v>
      </c>
      <c r="D329" s="3" t="s">
        <v>330</v>
      </c>
    </row>
    <row r="330" spans="1:4" ht="24.75" customHeight="1">
      <c r="A330" s="3" t="str">
        <f>"34892021110800165747265"</f>
        <v>34892021110800165747265</v>
      </c>
      <c r="B330" s="3" t="s">
        <v>33</v>
      </c>
      <c r="C330" s="3" t="str">
        <f>"周金霞"</f>
        <v>周金霞</v>
      </c>
      <c r="D330" s="3" t="s">
        <v>331</v>
      </c>
    </row>
    <row r="331" spans="1:4" ht="24.75" customHeight="1">
      <c r="A331" s="3" t="str">
        <f>"34892021110800175047266"</f>
        <v>34892021110800175047266</v>
      </c>
      <c r="B331" s="3" t="s">
        <v>33</v>
      </c>
      <c r="C331" s="3" t="str">
        <f>"林马珍"</f>
        <v>林马珍</v>
      </c>
      <c r="D331" s="3" t="s">
        <v>332</v>
      </c>
    </row>
    <row r="332" spans="1:4" ht="24.75" customHeight="1">
      <c r="A332" s="3" t="str">
        <f>"34892021110808250747307"</f>
        <v>34892021110808250747307</v>
      </c>
      <c r="B332" s="3" t="s">
        <v>33</v>
      </c>
      <c r="C332" s="3" t="str">
        <f>"邱名鼎"</f>
        <v>邱名鼎</v>
      </c>
      <c r="D332" s="3" t="s">
        <v>333</v>
      </c>
    </row>
    <row r="333" spans="1:4" ht="24.75" customHeight="1">
      <c r="A333" s="3" t="str">
        <f>"34892021110808321147315"</f>
        <v>34892021110808321147315</v>
      </c>
      <c r="B333" s="3" t="s">
        <v>33</v>
      </c>
      <c r="C333" s="3" t="str">
        <f>"郑范莹"</f>
        <v>郑范莹</v>
      </c>
      <c r="D333" s="3" t="s">
        <v>334</v>
      </c>
    </row>
    <row r="334" spans="1:4" ht="24.75" customHeight="1">
      <c r="A334" s="3" t="str">
        <f>"34892021110808542847346"</f>
        <v>34892021110808542847346</v>
      </c>
      <c r="B334" s="3" t="s">
        <v>33</v>
      </c>
      <c r="C334" s="3" t="str">
        <f>"李顺妃"</f>
        <v>李顺妃</v>
      </c>
      <c r="D334" s="3" t="s">
        <v>335</v>
      </c>
    </row>
    <row r="335" spans="1:4" ht="24.75" customHeight="1">
      <c r="A335" s="3" t="str">
        <f>"34892021110809025847357"</f>
        <v>34892021110809025847357</v>
      </c>
      <c r="B335" s="3" t="s">
        <v>33</v>
      </c>
      <c r="C335" s="3" t="str">
        <f>"吴桃艳"</f>
        <v>吴桃艳</v>
      </c>
      <c r="D335" s="3" t="s">
        <v>336</v>
      </c>
    </row>
    <row r="336" spans="1:4" ht="24.75" customHeight="1">
      <c r="A336" s="3" t="str">
        <f>"34892021110809145047370"</f>
        <v>34892021110809145047370</v>
      </c>
      <c r="B336" s="3" t="s">
        <v>33</v>
      </c>
      <c r="C336" s="3" t="str">
        <f>"王钧"</f>
        <v>王钧</v>
      </c>
      <c r="D336" s="3" t="s">
        <v>337</v>
      </c>
    </row>
    <row r="337" spans="1:4" ht="24.75" customHeight="1">
      <c r="A337" s="3" t="str">
        <f>"34892021110809345347404"</f>
        <v>34892021110809345347404</v>
      </c>
      <c r="B337" s="3" t="s">
        <v>33</v>
      </c>
      <c r="C337" s="3" t="str">
        <f>"符逢桃"</f>
        <v>符逢桃</v>
      </c>
      <c r="D337" s="3" t="s">
        <v>338</v>
      </c>
    </row>
    <row r="338" spans="1:4" ht="24.75" customHeight="1">
      <c r="A338" s="3" t="str">
        <f>"34892021110810052647458"</f>
        <v>34892021110810052647458</v>
      </c>
      <c r="B338" s="3" t="s">
        <v>33</v>
      </c>
      <c r="C338" s="3" t="str">
        <f>"刘君燕"</f>
        <v>刘君燕</v>
      </c>
      <c r="D338" s="3" t="s">
        <v>339</v>
      </c>
    </row>
    <row r="339" spans="1:4" ht="24.75" customHeight="1">
      <c r="A339" s="3" t="str">
        <f>"34892021110810062447461"</f>
        <v>34892021110810062447461</v>
      </c>
      <c r="B339" s="3" t="s">
        <v>33</v>
      </c>
      <c r="C339" s="3" t="str">
        <f>"梁春苗"</f>
        <v>梁春苗</v>
      </c>
      <c r="D339" s="3" t="s">
        <v>340</v>
      </c>
    </row>
    <row r="340" spans="1:4" ht="24.75" customHeight="1">
      <c r="A340" s="3" t="str">
        <f>"34892021110810080947468"</f>
        <v>34892021110810080947468</v>
      </c>
      <c r="B340" s="3" t="s">
        <v>33</v>
      </c>
      <c r="C340" s="3" t="str">
        <f>"何儒妹"</f>
        <v>何儒妹</v>
      </c>
      <c r="D340" s="3" t="s">
        <v>341</v>
      </c>
    </row>
    <row r="341" spans="1:4" ht="24.75" customHeight="1">
      <c r="A341" s="3" t="str">
        <f>"34892021110810473447533"</f>
        <v>34892021110810473447533</v>
      </c>
      <c r="B341" s="3" t="s">
        <v>33</v>
      </c>
      <c r="C341" s="3" t="str">
        <f>"吴雁"</f>
        <v>吴雁</v>
      </c>
      <c r="D341" s="3" t="s">
        <v>342</v>
      </c>
    </row>
    <row r="342" spans="1:4" ht="24.75" customHeight="1">
      <c r="A342" s="3" t="str">
        <f>"34892021110810513447536"</f>
        <v>34892021110810513447536</v>
      </c>
      <c r="B342" s="3" t="s">
        <v>33</v>
      </c>
      <c r="C342" s="3" t="str">
        <f>"林成蓉"</f>
        <v>林成蓉</v>
      </c>
      <c r="D342" s="3" t="s">
        <v>343</v>
      </c>
    </row>
    <row r="343" spans="1:4" ht="24.75" customHeight="1">
      <c r="A343" s="3" t="str">
        <f>"34892021110810572747540"</f>
        <v>34892021110810572747540</v>
      </c>
      <c r="B343" s="3" t="s">
        <v>33</v>
      </c>
      <c r="C343" s="3" t="str">
        <f>"唐莉"</f>
        <v>唐莉</v>
      </c>
      <c r="D343" s="3" t="s">
        <v>344</v>
      </c>
    </row>
    <row r="344" spans="1:4" ht="24.75" customHeight="1">
      <c r="A344" s="3" t="str">
        <f>"34892021110811075447558"</f>
        <v>34892021110811075447558</v>
      </c>
      <c r="B344" s="3" t="s">
        <v>33</v>
      </c>
      <c r="C344" s="3" t="str">
        <f>"符蓉"</f>
        <v>符蓉</v>
      </c>
      <c r="D344" s="3" t="s">
        <v>345</v>
      </c>
    </row>
    <row r="345" spans="1:4" ht="24.75" customHeight="1">
      <c r="A345" s="3" t="str">
        <f>"34892021110811254047582"</f>
        <v>34892021110811254047582</v>
      </c>
      <c r="B345" s="3" t="s">
        <v>33</v>
      </c>
      <c r="C345" s="3" t="str">
        <f>"李晶"</f>
        <v>李晶</v>
      </c>
      <c r="D345" s="3" t="s">
        <v>346</v>
      </c>
    </row>
    <row r="346" spans="1:4" ht="24.75" customHeight="1">
      <c r="A346" s="3" t="str">
        <f>"34892021110811411047610"</f>
        <v>34892021110811411047610</v>
      </c>
      <c r="B346" s="3" t="s">
        <v>33</v>
      </c>
      <c r="C346" s="3" t="str">
        <f>"赵寒"</f>
        <v>赵寒</v>
      </c>
      <c r="D346" s="3" t="s">
        <v>347</v>
      </c>
    </row>
    <row r="347" spans="1:4" ht="24.75" customHeight="1">
      <c r="A347" s="3" t="str">
        <f>"34892021110811450747619"</f>
        <v>34892021110811450747619</v>
      </c>
      <c r="B347" s="3" t="s">
        <v>33</v>
      </c>
      <c r="C347" s="3" t="str">
        <f>"吕俊杰"</f>
        <v>吕俊杰</v>
      </c>
      <c r="D347" s="3" t="s">
        <v>348</v>
      </c>
    </row>
    <row r="348" spans="1:4" ht="24.75" customHeight="1">
      <c r="A348" s="3" t="str">
        <f>"34892021110811542347642"</f>
        <v>34892021110811542347642</v>
      </c>
      <c r="B348" s="3" t="s">
        <v>33</v>
      </c>
      <c r="C348" s="3" t="str">
        <f>"赵泽辉"</f>
        <v>赵泽辉</v>
      </c>
      <c r="D348" s="3" t="s">
        <v>349</v>
      </c>
    </row>
    <row r="349" spans="1:4" ht="24.75" customHeight="1">
      <c r="A349" s="3" t="str">
        <f>"34892021110811543747644"</f>
        <v>34892021110811543747644</v>
      </c>
      <c r="B349" s="3" t="s">
        <v>33</v>
      </c>
      <c r="C349" s="3" t="str">
        <f>"李颖"</f>
        <v>李颖</v>
      </c>
      <c r="D349" s="3" t="s">
        <v>350</v>
      </c>
    </row>
    <row r="350" spans="1:4" ht="24.75" customHeight="1">
      <c r="A350" s="3" t="str">
        <f>"34892021110812245147675"</f>
        <v>34892021110812245147675</v>
      </c>
      <c r="B350" s="3" t="s">
        <v>33</v>
      </c>
      <c r="C350" s="3" t="str">
        <f>"黄家俊"</f>
        <v>黄家俊</v>
      </c>
      <c r="D350" s="3" t="s">
        <v>351</v>
      </c>
    </row>
    <row r="351" spans="1:4" ht="24.75" customHeight="1">
      <c r="A351" s="3" t="str">
        <f>"34892021110812550347709"</f>
        <v>34892021110812550347709</v>
      </c>
      <c r="B351" s="3" t="s">
        <v>33</v>
      </c>
      <c r="C351" s="3" t="str">
        <f>"柯灵丹"</f>
        <v>柯灵丹</v>
      </c>
      <c r="D351" s="3" t="s">
        <v>352</v>
      </c>
    </row>
    <row r="352" spans="1:4" ht="24.75" customHeight="1">
      <c r="A352" s="3" t="str">
        <f>"34892021110813070247723"</f>
        <v>34892021110813070247723</v>
      </c>
      <c r="B352" s="3" t="s">
        <v>33</v>
      </c>
      <c r="C352" s="3" t="str">
        <f>"雷雅茜"</f>
        <v>雷雅茜</v>
      </c>
      <c r="D352" s="3" t="s">
        <v>353</v>
      </c>
    </row>
    <row r="353" spans="1:4" ht="24.75" customHeight="1">
      <c r="A353" s="3" t="str">
        <f>"34892021110813160647733"</f>
        <v>34892021110813160647733</v>
      </c>
      <c r="B353" s="3" t="s">
        <v>33</v>
      </c>
      <c r="C353" s="3" t="str">
        <f>"羊以麗"</f>
        <v>羊以麗</v>
      </c>
      <c r="D353" s="3" t="s">
        <v>354</v>
      </c>
    </row>
    <row r="354" spans="1:4" ht="24.75" customHeight="1">
      <c r="A354" s="3" t="str">
        <f>"34892021110813450547755"</f>
        <v>34892021110813450547755</v>
      </c>
      <c r="B354" s="3" t="s">
        <v>33</v>
      </c>
      <c r="C354" s="3" t="str">
        <f>"王洁"</f>
        <v>王洁</v>
      </c>
      <c r="D354" s="3" t="s">
        <v>355</v>
      </c>
    </row>
    <row r="355" spans="1:4" ht="24.75" customHeight="1">
      <c r="A355" s="3" t="str">
        <f>"34892021110814165247777"</f>
        <v>34892021110814165247777</v>
      </c>
      <c r="B355" s="3" t="s">
        <v>33</v>
      </c>
      <c r="C355" s="3" t="str">
        <f>"文艺晓"</f>
        <v>文艺晓</v>
      </c>
      <c r="D355" s="3" t="s">
        <v>356</v>
      </c>
    </row>
    <row r="356" spans="1:4" ht="24.75" customHeight="1">
      <c r="A356" s="3" t="str">
        <f>"34892021110814225947785"</f>
        <v>34892021110814225947785</v>
      </c>
      <c r="B356" s="3" t="s">
        <v>33</v>
      </c>
      <c r="C356" s="3" t="str">
        <f>"王红棉"</f>
        <v>王红棉</v>
      </c>
      <c r="D356" s="3" t="s">
        <v>357</v>
      </c>
    </row>
    <row r="357" spans="1:4" ht="24.75" customHeight="1">
      <c r="A357" s="3" t="str">
        <f>"34892021110814330747795"</f>
        <v>34892021110814330747795</v>
      </c>
      <c r="B357" s="3" t="s">
        <v>33</v>
      </c>
      <c r="C357" s="3" t="str">
        <f>"黄道微"</f>
        <v>黄道微</v>
      </c>
      <c r="D357" s="3" t="s">
        <v>358</v>
      </c>
    </row>
    <row r="358" spans="1:4" ht="24.75" customHeight="1">
      <c r="A358" s="3" t="str">
        <f>"34892021110814394747805"</f>
        <v>34892021110814394747805</v>
      </c>
      <c r="B358" s="3" t="s">
        <v>33</v>
      </c>
      <c r="C358" s="3" t="str">
        <f>"李莹影"</f>
        <v>李莹影</v>
      </c>
      <c r="D358" s="3" t="s">
        <v>359</v>
      </c>
    </row>
    <row r="359" spans="1:4" ht="24.75" customHeight="1">
      <c r="A359" s="3" t="str">
        <f>"34892021110814470447813"</f>
        <v>34892021110814470447813</v>
      </c>
      <c r="B359" s="3" t="s">
        <v>33</v>
      </c>
      <c r="C359" s="3" t="str">
        <f>"陈必艳"</f>
        <v>陈必艳</v>
      </c>
      <c r="D359" s="3" t="s">
        <v>360</v>
      </c>
    </row>
    <row r="360" spans="1:4" ht="24.75" customHeight="1">
      <c r="A360" s="3" t="str">
        <f>"34892021110814532947823"</f>
        <v>34892021110814532947823</v>
      </c>
      <c r="B360" s="3" t="s">
        <v>33</v>
      </c>
      <c r="C360" s="3" t="str">
        <f>"曾蔚玲"</f>
        <v>曾蔚玲</v>
      </c>
      <c r="D360" s="3" t="s">
        <v>361</v>
      </c>
    </row>
    <row r="361" spans="1:4" ht="24.75" customHeight="1">
      <c r="A361" s="3" t="str">
        <f>"34892021110815090647852"</f>
        <v>34892021110815090647852</v>
      </c>
      <c r="B361" s="3" t="s">
        <v>33</v>
      </c>
      <c r="C361" s="3" t="str">
        <f>"翁美玲"</f>
        <v>翁美玲</v>
      </c>
      <c r="D361" s="3" t="s">
        <v>362</v>
      </c>
    </row>
    <row r="362" spans="1:4" ht="24.75" customHeight="1">
      <c r="A362" s="3" t="str">
        <f>"34892021110815262947878"</f>
        <v>34892021110815262947878</v>
      </c>
      <c r="B362" s="3" t="s">
        <v>33</v>
      </c>
      <c r="C362" s="3" t="str">
        <f>"李雪颖"</f>
        <v>李雪颖</v>
      </c>
      <c r="D362" s="3" t="s">
        <v>363</v>
      </c>
    </row>
    <row r="363" spans="1:4" ht="24.75" customHeight="1">
      <c r="A363" s="3" t="str">
        <f>"34892021110816194047961"</f>
        <v>34892021110816194047961</v>
      </c>
      <c r="B363" s="3" t="s">
        <v>33</v>
      </c>
      <c r="C363" s="3" t="str">
        <f>"邢高雅"</f>
        <v>邢高雅</v>
      </c>
      <c r="D363" s="3" t="s">
        <v>364</v>
      </c>
    </row>
    <row r="364" spans="1:4" ht="24.75" customHeight="1">
      <c r="A364" s="3" t="str">
        <f>"34892021110816275447971"</f>
        <v>34892021110816275447971</v>
      </c>
      <c r="B364" s="3" t="s">
        <v>33</v>
      </c>
      <c r="C364" s="3" t="str">
        <f>"符广胜"</f>
        <v>符广胜</v>
      </c>
      <c r="D364" s="3" t="s">
        <v>365</v>
      </c>
    </row>
    <row r="365" spans="1:4" ht="24.75" customHeight="1">
      <c r="A365" s="3" t="str">
        <f>"34892021110816390447989"</f>
        <v>34892021110816390447989</v>
      </c>
      <c r="B365" s="3" t="s">
        <v>33</v>
      </c>
      <c r="C365" s="3" t="str">
        <f>"杨帆"</f>
        <v>杨帆</v>
      </c>
      <c r="D365" s="3" t="s">
        <v>366</v>
      </c>
    </row>
    <row r="366" spans="1:4" ht="24.75" customHeight="1">
      <c r="A366" s="3" t="str">
        <f>"34892021110816534848018"</f>
        <v>34892021110816534848018</v>
      </c>
      <c r="B366" s="3" t="s">
        <v>33</v>
      </c>
      <c r="C366" s="3" t="str">
        <f>"李芳湟"</f>
        <v>李芳湟</v>
      </c>
      <c r="D366" s="3" t="s">
        <v>367</v>
      </c>
    </row>
    <row r="367" spans="1:4" ht="24.75" customHeight="1">
      <c r="A367" s="3" t="str">
        <f>"34892021110817012748032"</f>
        <v>34892021110817012748032</v>
      </c>
      <c r="B367" s="3" t="s">
        <v>33</v>
      </c>
      <c r="C367" s="3" t="str">
        <f>"符盛宇"</f>
        <v>符盛宇</v>
      </c>
      <c r="D367" s="3" t="s">
        <v>368</v>
      </c>
    </row>
    <row r="368" spans="1:4" ht="24.75" customHeight="1">
      <c r="A368" s="3" t="str">
        <f>"34892021110817285748063"</f>
        <v>34892021110817285748063</v>
      </c>
      <c r="B368" s="3" t="s">
        <v>33</v>
      </c>
      <c r="C368" s="3" t="str">
        <f>"曾媛"</f>
        <v>曾媛</v>
      </c>
      <c r="D368" s="3" t="s">
        <v>369</v>
      </c>
    </row>
    <row r="369" spans="1:4" ht="24.75" customHeight="1">
      <c r="A369" s="3" t="str">
        <f>"34892021110817402048078"</f>
        <v>34892021110817402048078</v>
      </c>
      <c r="B369" s="3" t="s">
        <v>33</v>
      </c>
      <c r="C369" s="3" t="str">
        <f>"陈明辉"</f>
        <v>陈明辉</v>
      </c>
      <c r="D369" s="3" t="s">
        <v>370</v>
      </c>
    </row>
    <row r="370" spans="1:4" ht="24.75" customHeight="1">
      <c r="A370" s="3" t="str">
        <f>"34892021110817431648084"</f>
        <v>34892021110817431648084</v>
      </c>
      <c r="B370" s="3" t="s">
        <v>33</v>
      </c>
      <c r="C370" s="3" t="str">
        <f>"张涓"</f>
        <v>张涓</v>
      </c>
      <c r="D370" s="3" t="s">
        <v>371</v>
      </c>
    </row>
    <row r="371" spans="1:4" ht="24.75" customHeight="1">
      <c r="A371" s="3" t="str">
        <f>"34892021110817462248087"</f>
        <v>34892021110817462248087</v>
      </c>
      <c r="B371" s="3" t="s">
        <v>33</v>
      </c>
      <c r="C371" s="3" t="str">
        <f>"李玉兰"</f>
        <v>李玉兰</v>
      </c>
      <c r="D371" s="3" t="s">
        <v>372</v>
      </c>
    </row>
    <row r="372" spans="1:4" ht="24.75" customHeight="1">
      <c r="A372" s="3" t="str">
        <f>"34892021110817465448088"</f>
        <v>34892021110817465448088</v>
      </c>
      <c r="B372" s="3" t="s">
        <v>33</v>
      </c>
      <c r="C372" s="3" t="str">
        <f>"王毓位"</f>
        <v>王毓位</v>
      </c>
      <c r="D372" s="3" t="s">
        <v>373</v>
      </c>
    </row>
    <row r="373" spans="1:4" ht="24.75" customHeight="1">
      <c r="A373" s="3" t="str">
        <f>"34892021110817484148092"</f>
        <v>34892021110817484148092</v>
      </c>
      <c r="B373" s="3" t="s">
        <v>33</v>
      </c>
      <c r="C373" s="3" t="str">
        <f>"李才燕"</f>
        <v>李才燕</v>
      </c>
      <c r="D373" s="3" t="s">
        <v>374</v>
      </c>
    </row>
    <row r="374" spans="1:4" ht="24.75" customHeight="1">
      <c r="A374" s="3" t="str">
        <f>"34892021110817542848103"</f>
        <v>34892021110817542848103</v>
      </c>
      <c r="B374" s="3" t="s">
        <v>33</v>
      </c>
      <c r="C374" s="3" t="str">
        <f>"邱丽翔"</f>
        <v>邱丽翔</v>
      </c>
      <c r="D374" s="3" t="s">
        <v>375</v>
      </c>
    </row>
    <row r="375" spans="1:4" ht="24.75" customHeight="1">
      <c r="A375" s="3" t="str">
        <f>"34892021110818232348142"</f>
        <v>34892021110818232348142</v>
      </c>
      <c r="B375" s="3" t="s">
        <v>33</v>
      </c>
      <c r="C375" s="3" t="str">
        <f>"林道鹏"</f>
        <v>林道鹏</v>
      </c>
      <c r="D375" s="3" t="s">
        <v>376</v>
      </c>
    </row>
    <row r="376" spans="1:4" ht="24.75" customHeight="1">
      <c r="A376" s="3" t="str">
        <f>"34892021110818432948160"</f>
        <v>34892021110818432948160</v>
      </c>
      <c r="B376" s="3" t="s">
        <v>33</v>
      </c>
      <c r="C376" s="3" t="str">
        <f>"林贵月"</f>
        <v>林贵月</v>
      </c>
      <c r="D376" s="3" t="s">
        <v>377</v>
      </c>
    </row>
    <row r="377" spans="1:4" ht="24.75" customHeight="1">
      <c r="A377" s="3" t="str">
        <f>"34892021110819103148193"</f>
        <v>34892021110819103148193</v>
      </c>
      <c r="B377" s="3" t="s">
        <v>33</v>
      </c>
      <c r="C377" s="3" t="str">
        <f>"陈世倩"</f>
        <v>陈世倩</v>
      </c>
      <c r="D377" s="3" t="s">
        <v>378</v>
      </c>
    </row>
    <row r="378" spans="1:4" ht="24.75" customHeight="1">
      <c r="A378" s="3" t="str">
        <f>"34892021110819384648232"</f>
        <v>34892021110819384648232</v>
      </c>
      <c r="B378" s="3" t="s">
        <v>33</v>
      </c>
      <c r="C378" s="3" t="str">
        <f>"李朝阳"</f>
        <v>李朝阳</v>
      </c>
      <c r="D378" s="3" t="s">
        <v>379</v>
      </c>
    </row>
    <row r="379" spans="1:4" ht="24.75" customHeight="1">
      <c r="A379" s="3" t="str">
        <f>"34892021110820124848281"</f>
        <v>34892021110820124848281</v>
      </c>
      <c r="B379" s="3" t="s">
        <v>33</v>
      </c>
      <c r="C379" s="3" t="str">
        <f>"林岗"</f>
        <v>林岗</v>
      </c>
      <c r="D379" s="3" t="s">
        <v>380</v>
      </c>
    </row>
    <row r="380" spans="1:4" ht="24.75" customHeight="1">
      <c r="A380" s="3" t="str">
        <f>"34892021110820160248291"</f>
        <v>34892021110820160248291</v>
      </c>
      <c r="B380" s="3" t="s">
        <v>33</v>
      </c>
      <c r="C380" s="3" t="str">
        <f>"吴青穗"</f>
        <v>吴青穗</v>
      </c>
      <c r="D380" s="3" t="s">
        <v>381</v>
      </c>
    </row>
    <row r="381" spans="1:4" ht="24.75" customHeight="1">
      <c r="A381" s="3" t="str">
        <f>"34892021110820433048352"</f>
        <v>34892021110820433048352</v>
      </c>
      <c r="B381" s="3" t="s">
        <v>33</v>
      </c>
      <c r="C381" s="3" t="str">
        <f>"黄儿"</f>
        <v>黄儿</v>
      </c>
      <c r="D381" s="3" t="s">
        <v>382</v>
      </c>
    </row>
    <row r="382" spans="1:4" ht="24.75" customHeight="1">
      <c r="A382" s="3" t="str">
        <f>"34892021110821041148399"</f>
        <v>34892021110821041148399</v>
      </c>
      <c r="B382" s="3" t="s">
        <v>33</v>
      </c>
      <c r="C382" s="3" t="str">
        <f>"刘洋子"</f>
        <v>刘洋子</v>
      </c>
      <c r="D382" s="3" t="s">
        <v>383</v>
      </c>
    </row>
    <row r="383" spans="1:4" ht="24.75" customHeight="1">
      <c r="A383" s="3" t="str">
        <f>"34892021110821080848405"</f>
        <v>34892021110821080848405</v>
      </c>
      <c r="B383" s="3" t="s">
        <v>33</v>
      </c>
      <c r="C383" s="3" t="str">
        <f>"王杰"</f>
        <v>王杰</v>
      </c>
      <c r="D383" s="3" t="s">
        <v>384</v>
      </c>
    </row>
    <row r="384" spans="1:4" ht="24.75" customHeight="1">
      <c r="A384" s="3" t="str">
        <f>"34892021110821182048426"</f>
        <v>34892021110821182048426</v>
      </c>
      <c r="B384" s="3" t="s">
        <v>33</v>
      </c>
      <c r="C384" s="3" t="str">
        <f>"陈文霞"</f>
        <v>陈文霞</v>
      </c>
      <c r="D384" s="3" t="s">
        <v>385</v>
      </c>
    </row>
    <row r="385" spans="1:4" ht="24.75" customHeight="1">
      <c r="A385" s="3" t="str">
        <f>"34892021110821204348433"</f>
        <v>34892021110821204348433</v>
      </c>
      <c r="B385" s="3" t="s">
        <v>33</v>
      </c>
      <c r="C385" s="3" t="str">
        <f>"陈焕阳"</f>
        <v>陈焕阳</v>
      </c>
      <c r="D385" s="3" t="s">
        <v>386</v>
      </c>
    </row>
    <row r="386" spans="1:4" ht="24.75" customHeight="1">
      <c r="A386" s="3" t="str">
        <f>"34892021110821563548495"</f>
        <v>34892021110821563548495</v>
      </c>
      <c r="B386" s="3" t="s">
        <v>33</v>
      </c>
      <c r="C386" s="3" t="str">
        <f>"杜小慧"</f>
        <v>杜小慧</v>
      </c>
      <c r="D386" s="3" t="s">
        <v>387</v>
      </c>
    </row>
    <row r="387" spans="1:4" ht="24.75" customHeight="1">
      <c r="A387" s="3" t="str">
        <f>"34892021110822082848516"</f>
        <v>34892021110822082848516</v>
      </c>
      <c r="B387" s="3" t="s">
        <v>33</v>
      </c>
      <c r="C387" s="3" t="str">
        <f>"张肇广 "</f>
        <v>张肇广 </v>
      </c>
      <c r="D387" s="3" t="s">
        <v>388</v>
      </c>
    </row>
    <row r="388" spans="1:4" ht="24.75" customHeight="1">
      <c r="A388" s="3" t="str">
        <f>"34892021110822091648519"</f>
        <v>34892021110822091648519</v>
      </c>
      <c r="B388" s="3" t="s">
        <v>33</v>
      </c>
      <c r="C388" s="3" t="str">
        <f>"钟圆圆"</f>
        <v>钟圆圆</v>
      </c>
      <c r="D388" s="3" t="s">
        <v>389</v>
      </c>
    </row>
    <row r="389" spans="1:4" ht="24.75" customHeight="1">
      <c r="A389" s="3" t="str">
        <f>"34892021110822183248535"</f>
        <v>34892021110822183248535</v>
      </c>
      <c r="B389" s="3" t="s">
        <v>33</v>
      </c>
      <c r="C389" s="3" t="str">
        <f>"符永香"</f>
        <v>符永香</v>
      </c>
      <c r="D389" s="3" t="s">
        <v>390</v>
      </c>
    </row>
    <row r="390" spans="1:4" ht="24.75" customHeight="1">
      <c r="A390" s="3" t="str">
        <f>"34892021110822271448553"</f>
        <v>34892021110822271448553</v>
      </c>
      <c r="B390" s="3" t="s">
        <v>33</v>
      </c>
      <c r="C390" s="3" t="str">
        <f>"陈丁晓"</f>
        <v>陈丁晓</v>
      </c>
      <c r="D390" s="3" t="s">
        <v>391</v>
      </c>
    </row>
    <row r="391" spans="1:4" ht="24.75" customHeight="1">
      <c r="A391" s="3" t="str">
        <f>"34892021110822295748557"</f>
        <v>34892021110822295748557</v>
      </c>
      <c r="B391" s="3" t="s">
        <v>33</v>
      </c>
      <c r="C391" s="3" t="str">
        <f>"唐庆慧"</f>
        <v>唐庆慧</v>
      </c>
      <c r="D391" s="3" t="s">
        <v>392</v>
      </c>
    </row>
    <row r="392" spans="1:4" ht="24.75" customHeight="1">
      <c r="A392" s="3" t="str">
        <f>"34892021110823182548630"</f>
        <v>34892021110823182548630</v>
      </c>
      <c r="B392" s="3" t="s">
        <v>33</v>
      </c>
      <c r="C392" s="3" t="str">
        <f>"王秀存"</f>
        <v>王秀存</v>
      </c>
      <c r="D392" s="3" t="s">
        <v>393</v>
      </c>
    </row>
    <row r="393" spans="1:4" ht="24.75" customHeight="1">
      <c r="A393" s="3" t="str">
        <f>"34892021110823323348644"</f>
        <v>34892021110823323348644</v>
      </c>
      <c r="B393" s="3" t="s">
        <v>33</v>
      </c>
      <c r="C393" s="3" t="str">
        <f>"陈春芸"</f>
        <v>陈春芸</v>
      </c>
      <c r="D393" s="3" t="s">
        <v>394</v>
      </c>
    </row>
    <row r="394" spans="1:4" ht="24.75" customHeight="1">
      <c r="A394" s="3" t="str">
        <f>"34892021110904392848725"</f>
        <v>34892021110904392848725</v>
      </c>
      <c r="B394" s="3" t="s">
        <v>33</v>
      </c>
      <c r="C394" s="3" t="str">
        <f>"林思月"</f>
        <v>林思月</v>
      </c>
      <c r="D394" s="3" t="s">
        <v>171</v>
      </c>
    </row>
    <row r="395" spans="1:4" ht="24.75" customHeight="1">
      <c r="A395" s="3" t="str">
        <f>"34892021110906422448731"</f>
        <v>34892021110906422448731</v>
      </c>
      <c r="B395" s="3" t="s">
        <v>33</v>
      </c>
      <c r="C395" s="3" t="str">
        <f>"吴少敏"</f>
        <v>吴少敏</v>
      </c>
      <c r="D395" s="3" t="s">
        <v>395</v>
      </c>
    </row>
    <row r="396" spans="1:4" ht="24.75" customHeight="1">
      <c r="A396" s="3" t="str">
        <f>"34892021110907530248743"</f>
        <v>34892021110907530248743</v>
      </c>
      <c r="B396" s="3" t="s">
        <v>33</v>
      </c>
      <c r="C396" s="3" t="str">
        <f>"杨振文"</f>
        <v>杨振文</v>
      </c>
      <c r="D396" s="3" t="s">
        <v>396</v>
      </c>
    </row>
    <row r="397" spans="1:4" ht="24.75" customHeight="1">
      <c r="A397" s="3" t="str">
        <f>"34892021110908130048750"</f>
        <v>34892021110908130048750</v>
      </c>
      <c r="B397" s="3" t="s">
        <v>33</v>
      </c>
      <c r="C397" s="3" t="str">
        <f>"羊美菊"</f>
        <v>羊美菊</v>
      </c>
      <c r="D397" s="3" t="s">
        <v>397</v>
      </c>
    </row>
    <row r="398" spans="1:4" ht="24.75" customHeight="1">
      <c r="A398" s="3" t="str">
        <f>"34892021110908364848767"</f>
        <v>34892021110908364848767</v>
      </c>
      <c r="B398" s="3" t="s">
        <v>33</v>
      </c>
      <c r="C398" s="3" t="str">
        <f>"陈玲玉"</f>
        <v>陈玲玉</v>
      </c>
      <c r="D398" s="3" t="s">
        <v>398</v>
      </c>
    </row>
    <row r="399" spans="1:4" ht="24.75" customHeight="1">
      <c r="A399" s="3" t="str">
        <f>"34892021110908422048777"</f>
        <v>34892021110908422048777</v>
      </c>
      <c r="B399" s="3" t="s">
        <v>33</v>
      </c>
      <c r="C399" s="3" t="str">
        <f>"洪海花"</f>
        <v>洪海花</v>
      </c>
      <c r="D399" s="3" t="s">
        <v>399</v>
      </c>
    </row>
    <row r="400" spans="1:4" ht="24.75" customHeight="1">
      <c r="A400" s="3" t="str">
        <f>"34892021110909065748811"</f>
        <v>34892021110909065748811</v>
      </c>
      <c r="B400" s="3" t="s">
        <v>33</v>
      </c>
      <c r="C400" s="3" t="str">
        <f>"吴秋芳"</f>
        <v>吴秋芳</v>
      </c>
      <c r="D400" s="3" t="s">
        <v>400</v>
      </c>
    </row>
    <row r="401" spans="1:4" ht="24.75" customHeight="1">
      <c r="A401" s="3" t="str">
        <f>"34892021110909095048820"</f>
        <v>34892021110909095048820</v>
      </c>
      <c r="B401" s="3" t="s">
        <v>33</v>
      </c>
      <c r="C401" s="3" t="str">
        <f>"王棉"</f>
        <v>王棉</v>
      </c>
      <c r="D401" s="3" t="s">
        <v>401</v>
      </c>
    </row>
    <row r="402" spans="1:4" ht="24.75" customHeight="1">
      <c r="A402" s="3" t="str">
        <f>"34892021110909121148825"</f>
        <v>34892021110909121148825</v>
      </c>
      <c r="B402" s="3" t="s">
        <v>33</v>
      </c>
      <c r="C402" s="3" t="str">
        <f>"陈威"</f>
        <v>陈威</v>
      </c>
      <c r="D402" s="3" t="s">
        <v>402</v>
      </c>
    </row>
    <row r="403" spans="1:4" ht="24.75" customHeight="1">
      <c r="A403" s="3" t="str">
        <f>"34892021110909232648843"</f>
        <v>34892021110909232648843</v>
      </c>
      <c r="B403" s="3" t="s">
        <v>33</v>
      </c>
      <c r="C403" s="3" t="str">
        <f>"蔡秀珍"</f>
        <v>蔡秀珍</v>
      </c>
      <c r="D403" s="3" t="s">
        <v>403</v>
      </c>
    </row>
    <row r="404" spans="1:4" ht="24.75" customHeight="1">
      <c r="A404" s="3" t="str">
        <f>"34892021110909314848861"</f>
        <v>34892021110909314848861</v>
      </c>
      <c r="B404" s="3" t="s">
        <v>33</v>
      </c>
      <c r="C404" s="3" t="str">
        <f>"李尾莲"</f>
        <v>李尾莲</v>
      </c>
      <c r="D404" s="3" t="s">
        <v>404</v>
      </c>
    </row>
    <row r="405" spans="1:4" ht="24.75" customHeight="1">
      <c r="A405" s="3" t="str">
        <f>"34892021110909380448869"</f>
        <v>34892021110909380448869</v>
      </c>
      <c r="B405" s="3" t="s">
        <v>33</v>
      </c>
      <c r="C405" s="3" t="str">
        <f>"孙云丹"</f>
        <v>孙云丹</v>
      </c>
      <c r="D405" s="3" t="s">
        <v>405</v>
      </c>
    </row>
    <row r="406" spans="1:4" ht="24.75" customHeight="1">
      <c r="A406" s="3" t="str">
        <f>"34892021110910252148960"</f>
        <v>34892021110910252148960</v>
      </c>
      <c r="B406" s="3" t="s">
        <v>33</v>
      </c>
      <c r="C406" s="3" t="str">
        <f>"陈冬迪"</f>
        <v>陈冬迪</v>
      </c>
      <c r="D406" s="3" t="s">
        <v>406</v>
      </c>
    </row>
    <row r="407" spans="1:4" ht="24.75" customHeight="1">
      <c r="A407" s="3" t="str">
        <f>"34892021110910424248995"</f>
        <v>34892021110910424248995</v>
      </c>
      <c r="B407" s="3" t="s">
        <v>33</v>
      </c>
      <c r="C407" s="3" t="str">
        <f>"李大光"</f>
        <v>李大光</v>
      </c>
      <c r="D407" s="3" t="s">
        <v>407</v>
      </c>
    </row>
    <row r="408" spans="1:4" ht="24.75" customHeight="1">
      <c r="A408" s="3" t="str">
        <f>"34892021110910492649002"</f>
        <v>34892021110910492649002</v>
      </c>
      <c r="B408" s="3" t="s">
        <v>33</v>
      </c>
      <c r="C408" s="3" t="str">
        <f>"李小双"</f>
        <v>李小双</v>
      </c>
      <c r="D408" s="3" t="s">
        <v>408</v>
      </c>
    </row>
    <row r="409" spans="1:4" ht="24.75" customHeight="1">
      <c r="A409" s="3" t="str">
        <f>"34892021110911112249038"</f>
        <v>34892021110911112249038</v>
      </c>
      <c r="B409" s="3" t="s">
        <v>33</v>
      </c>
      <c r="C409" s="3" t="str">
        <f>"王蕾"</f>
        <v>王蕾</v>
      </c>
      <c r="D409" s="3" t="s">
        <v>409</v>
      </c>
    </row>
    <row r="410" spans="1:4" ht="24.75" customHeight="1">
      <c r="A410" s="3" t="str">
        <f>"34892021110911134449042"</f>
        <v>34892021110911134449042</v>
      </c>
      <c r="B410" s="3" t="s">
        <v>33</v>
      </c>
      <c r="C410" s="3" t="str">
        <f>"林师麟"</f>
        <v>林师麟</v>
      </c>
      <c r="D410" s="3" t="s">
        <v>410</v>
      </c>
    </row>
    <row r="411" spans="1:4" ht="24.75" customHeight="1">
      <c r="A411" s="3" t="str">
        <f>"34892021110911135549043"</f>
        <v>34892021110911135549043</v>
      </c>
      <c r="B411" s="3" t="s">
        <v>33</v>
      </c>
      <c r="C411" s="3" t="str">
        <f>"陈颖"</f>
        <v>陈颖</v>
      </c>
      <c r="D411" s="3" t="s">
        <v>411</v>
      </c>
    </row>
    <row r="412" spans="1:4" ht="24.75" customHeight="1">
      <c r="A412" s="3" t="str">
        <f>"34892021110911292249070"</f>
        <v>34892021110911292249070</v>
      </c>
      <c r="B412" s="3" t="s">
        <v>33</v>
      </c>
      <c r="C412" s="3" t="str">
        <f>"陈积婷"</f>
        <v>陈积婷</v>
      </c>
      <c r="D412" s="3" t="s">
        <v>412</v>
      </c>
    </row>
    <row r="413" spans="1:4" ht="24.75" customHeight="1">
      <c r="A413" s="3" t="str">
        <f>"34892021110913011549154"</f>
        <v>34892021110913011549154</v>
      </c>
      <c r="B413" s="3" t="s">
        <v>33</v>
      </c>
      <c r="C413" s="3" t="str">
        <f>"李丽红"</f>
        <v>李丽红</v>
      </c>
      <c r="D413" s="3" t="s">
        <v>413</v>
      </c>
    </row>
    <row r="414" spans="1:4" ht="24.75" customHeight="1">
      <c r="A414" s="3" t="str">
        <f>"34892021110913090349164"</f>
        <v>34892021110913090349164</v>
      </c>
      <c r="B414" s="3" t="s">
        <v>33</v>
      </c>
      <c r="C414" s="3" t="str">
        <f>"陈盈"</f>
        <v>陈盈</v>
      </c>
      <c r="D414" s="3" t="s">
        <v>414</v>
      </c>
    </row>
    <row r="415" spans="1:4" ht="24.75" customHeight="1">
      <c r="A415" s="3" t="str">
        <f>"34892021110913150149171"</f>
        <v>34892021110913150149171</v>
      </c>
      <c r="B415" s="3" t="s">
        <v>33</v>
      </c>
      <c r="C415" s="3" t="str">
        <f>"王英子"</f>
        <v>王英子</v>
      </c>
      <c r="D415" s="3" t="s">
        <v>415</v>
      </c>
    </row>
    <row r="416" spans="1:4" ht="24.75" customHeight="1">
      <c r="A416" s="3" t="str">
        <f>"34892021110913294049182"</f>
        <v>34892021110913294049182</v>
      </c>
      <c r="B416" s="3" t="s">
        <v>33</v>
      </c>
      <c r="C416" s="3" t="str">
        <f>"汤学金"</f>
        <v>汤学金</v>
      </c>
      <c r="D416" s="3" t="s">
        <v>416</v>
      </c>
    </row>
    <row r="417" spans="1:4" ht="24.75" customHeight="1">
      <c r="A417" s="3" t="str">
        <f>"34892021110914525949235"</f>
        <v>34892021110914525949235</v>
      </c>
      <c r="B417" s="3" t="s">
        <v>33</v>
      </c>
      <c r="C417" s="3" t="str">
        <f>"黄英容"</f>
        <v>黄英容</v>
      </c>
      <c r="D417" s="3" t="s">
        <v>417</v>
      </c>
    </row>
    <row r="418" spans="1:4" ht="24.75" customHeight="1">
      <c r="A418" s="3" t="str">
        <f>"34892021110915132049261"</f>
        <v>34892021110915132049261</v>
      </c>
      <c r="B418" s="3" t="s">
        <v>33</v>
      </c>
      <c r="C418" s="3" t="str">
        <f>"陈春雨"</f>
        <v>陈春雨</v>
      </c>
      <c r="D418" s="3" t="s">
        <v>418</v>
      </c>
    </row>
    <row r="419" spans="1:4" ht="24.75" customHeight="1">
      <c r="A419" s="3" t="str">
        <f>"34892021110915182649273"</f>
        <v>34892021110915182649273</v>
      </c>
      <c r="B419" s="3" t="s">
        <v>33</v>
      </c>
      <c r="C419" s="3" t="str">
        <f>"黄楠棣"</f>
        <v>黄楠棣</v>
      </c>
      <c r="D419" s="3" t="s">
        <v>419</v>
      </c>
    </row>
    <row r="420" spans="1:4" ht="24.75" customHeight="1">
      <c r="A420" s="3" t="str">
        <f>"34892021110915314849296"</f>
        <v>34892021110915314849296</v>
      </c>
      <c r="B420" s="3" t="s">
        <v>33</v>
      </c>
      <c r="C420" s="3" t="str">
        <f>"吕招振"</f>
        <v>吕招振</v>
      </c>
      <c r="D420" s="3" t="s">
        <v>420</v>
      </c>
    </row>
    <row r="421" spans="1:4" ht="24.75" customHeight="1">
      <c r="A421" s="3" t="str">
        <f>"34892021110915343049298"</f>
        <v>34892021110915343049298</v>
      </c>
      <c r="B421" s="3" t="s">
        <v>33</v>
      </c>
      <c r="C421" s="3" t="str">
        <f>"符永柏"</f>
        <v>符永柏</v>
      </c>
      <c r="D421" s="3" t="s">
        <v>106</v>
      </c>
    </row>
    <row r="422" spans="1:4" ht="24.75" customHeight="1">
      <c r="A422" s="3" t="str">
        <f>"34892021110915354349301"</f>
        <v>34892021110915354349301</v>
      </c>
      <c r="B422" s="3" t="s">
        <v>33</v>
      </c>
      <c r="C422" s="3" t="str">
        <f>"麦豪强"</f>
        <v>麦豪强</v>
      </c>
      <c r="D422" s="3" t="s">
        <v>421</v>
      </c>
    </row>
    <row r="423" spans="1:4" ht="24.75" customHeight="1">
      <c r="A423" s="3" t="str">
        <f>"34892021110915412849303"</f>
        <v>34892021110915412849303</v>
      </c>
      <c r="B423" s="3" t="s">
        <v>33</v>
      </c>
      <c r="C423" s="3" t="str">
        <f>"陈玲月"</f>
        <v>陈玲月</v>
      </c>
      <c r="D423" s="3" t="s">
        <v>422</v>
      </c>
    </row>
    <row r="424" spans="1:4" ht="24.75" customHeight="1">
      <c r="A424" s="3" t="str">
        <f>"34892021110915435849310"</f>
        <v>34892021110915435849310</v>
      </c>
      <c r="B424" s="3" t="s">
        <v>33</v>
      </c>
      <c r="C424" s="3" t="str">
        <f>"陈烨"</f>
        <v>陈烨</v>
      </c>
      <c r="D424" s="3" t="s">
        <v>423</v>
      </c>
    </row>
    <row r="425" spans="1:4" ht="24.75" customHeight="1">
      <c r="A425" s="3" t="str">
        <f>"34892021110915485849320"</f>
        <v>34892021110915485849320</v>
      </c>
      <c r="B425" s="3" t="s">
        <v>33</v>
      </c>
      <c r="C425" s="3" t="str">
        <f>"邱勋凡"</f>
        <v>邱勋凡</v>
      </c>
      <c r="D425" s="3" t="s">
        <v>424</v>
      </c>
    </row>
    <row r="426" spans="1:4" ht="24.75" customHeight="1">
      <c r="A426" s="3" t="str">
        <f>"34892021110916154149363"</f>
        <v>34892021110916154149363</v>
      </c>
      <c r="B426" s="3" t="s">
        <v>33</v>
      </c>
      <c r="C426" s="3" t="str">
        <f>"陈梅香"</f>
        <v>陈梅香</v>
      </c>
      <c r="D426" s="3" t="s">
        <v>425</v>
      </c>
    </row>
    <row r="427" spans="1:4" ht="24.75" customHeight="1">
      <c r="A427" s="3" t="str">
        <f>"34892021110916340349383"</f>
        <v>34892021110916340349383</v>
      </c>
      <c r="B427" s="3" t="s">
        <v>33</v>
      </c>
      <c r="C427" s="3" t="str">
        <f>"李保均"</f>
        <v>李保均</v>
      </c>
      <c r="D427" s="3" t="s">
        <v>426</v>
      </c>
    </row>
    <row r="428" spans="1:4" ht="24.75" customHeight="1">
      <c r="A428" s="3" t="str">
        <f>"34892021110916593549406"</f>
        <v>34892021110916593549406</v>
      </c>
      <c r="B428" s="3" t="s">
        <v>33</v>
      </c>
      <c r="C428" s="3" t="str">
        <f>"李桂兰"</f>
        <v>李桂兰</v>
      </c>
      <c r="D428" s="3" t="s">
        <v>427</v>
      </c>
    </row>
    <row r="429" spans="1:4" ht="24.75" customHeight="1">
      <c r="A429" s="3" t="str">
        <f>"34892021110309005337450"</f>
        <v>34892021110309005337450</v>
      </c>
      <c r="B429" s="3" t="s">
        <v>428</v>
      </c>
      <c r="C429" s="3" t="str">
        <f>"何建华"</f>
        <v>何建华</v>
      </c>
      <c r="D429" s="3" t="s">
        <v>429</v>
      </c>
    </row>
    <row r="430" spans="1:4" ht="24.75" customHeight="1">
      <c r="A430" s="3" t="str">
        <f>"34892021110309005337451"</f>
        <v>34892021110309005337451</v>
      </c>
      <c r="B430" s="3" t="s">
        <v>428</v>
      </c>
      <c r="C430" s="3" t="str">
        <f>"吴长峰"</f>
        <v>吴长峰</v>
      </c>
      <c r="D430" s="3" t="s">
        <v>430</v>
      </c>
    </row>
    <row r="431" spans="1:4" ht="24.75" customHeight="1">
      <c r="A431" s="3" t="str">
        <f>"34892021110309011437456"</f>
        <v>34892021110309011437456</v>
      </c>
      <c r="B431" s="3" t="s">
        <v>428</v>
      </c>
      <c r="C431" s="3" t="str">
        <f>"洪德杨"</f>
        <v>洪德杨</v>
      </c>
      <c r="D431" s="3" t="s">
        <v>431</v>
      </c>
    </row>
    <row r="432" spans="1:4" ht="24.75" customHeight="1">
      <c r="A432" s="3" t="str">
        <f>"34892021110309020037468"</f>
        <v>34892021110309020037468</v>
      </c>
      <c r="B432" s="3" t="s">
        <v>428</v>
      </c>
      <c r="C432" s="3" t="str">
        <f>"王敏南"</f>
        <v>王敏南</v>
      </c>
      <c r="D432" s="3" t="s">
        <v>432</v>
      </c>
    </row>
    <row r="433" spans="1:4" ht="24.75" customHeight="1">
      <c r="A433" s="3" t="str">
        <f>"34892021110309020737471"</f>
        <v>34892021110309020737471</v>
      </c>
      <c r="B433" s="3" t="s">
        <v>428</v>
      </c>
      <c r="C433" s="3" t="str">
        <f>"王艳花"</f>
        <v>王艳花</v>
      </c>
      <c r="D433" s="3" t="s">
        <v>433</v>
      </c>
    </row>
    <row r="434" spans="1:4" ht="24.75" customHeight="1">
      <c r="A434" s="3" t="str">
        <f>"34892021110309021837474"</f>
        <v>34892021110309021837474</v>
      </c>
      <c r="B434" s="3" t="s">
        <v>428</v>
      </c>
      <c r="C434" s="3" t="str">
        <f>"黄校"</f>
        <v>黄校</v>
      </c>
      <c r="D434" s="3" t="s">
        <v>434</v>
      </c>
    </row>
    <row r="435" spans="1:4" ht="24.75" customHeight="1">
      <c r="A435" s="3" t="str">
        <f>"34892021110309025837482"</f>
        <v>34892021110309025837482</v>
      </c>
      <c r="B435" s="3" t="s">
        <v>428</v>
      </c>
      <c r="C435" s="3" t="str">
        <f>"吴巨猷"</f>
        <v>吴巨猷</v>
      </c>
      <c r="D435" s="3" t="s">
        <v>435</v>
      </c>
    </row>
    <row r="436" spans="1:4" ht="24.75" customHeight="1">
      <c r="A436" s="3" t="str">
        <f>"34892021110309030637485"</f>
        <v>34892021110309030637485</v>
      </c>
      <c r="B436" s="3" t="s">
        <v>428</v>
      </c>
      <c r="C436" s="3" t="str">
        <f>"王雪娇"</f>
        <v>王雪娇</v>
      </c>
      <c r="D436" s="3" t="s">
        <v>436</v>
      </c>
    </row>
    <row r="437" spans="1:4" ht="24.75" customHeight="1">
      <c r="A437" s="3" t="str">
        <f>"34892021110309033837489"</f>
        <v>34892021110309033837489</v>
      </c>
      <c r="B437" s="3" t="s">
        <v>428</v>
      </c>
      <c r="C437" s="3" t="str">
        <f>"陈宇"</f>
        <v>陈宇</v>
      </c>
      <c r="D437" s="3" t="s">
        <v>437</v>
      </c>
    </row>
    <row r="438" spans="1:4" ht="24.75" customHeight="1">
      <c r="A438" s="3" t="str">
        <f>"34892021110309034337490"</f>
        <v>34892021110309034337490</v>
      </c>
      <c r="B438" s="3" t="s">
        <v>428</v>
      </c>
      <c r="C438" s="3" t="str">
        <f>"潘德浩"</f>
        <v>潘德浩</v>
      </c>
      <c r="D438" s="3" t="s">
        <v>438</v>
      </c>
    </row>
    <row r="439" spans="1:4" ht="24.75" customHeight="1">
      <c r="A439" s="3" t="str">
        <f>"34892021110309043637499"</f>
        <v>34892021110309043637499</v>
      </c>
      <c r="B439" s="3" t="s">
        <v>428</v>
      </c>
      <c r="C439" s="3" t="str">
        <f>"陈小琴"</f>
        <v>陈小琴</v>
      </c>
      <c r="D439" s="3" t="s">
        <v>439</v>
      </c>
    </row>
    <row r="440" spans="1:4" ht="24.75" customHeight="1">
      <c r="A440" s="3" t="str">
        <f>"34892021110309044237501"</f>
        <v>34892021110309044237501</v>
      </c>
      <c r="B440" s="3" t="s">
        <v>428</v>
      </c>
      <c r="C440" s="3" t="str">
        <f>"许振椿"</f>
        <v>许振椿</v>
      </c>
      <c r="D440" s="3" t="s">
        <v>440</v>
      </c>
    </row>
    <row r="441" spans="1:4" ht="24.75" customHeight="1">
      <c r="A441" s="3" t="str">
        <f>"34892021110309055737516"</f>
        <v>34892021110309055737516</v>
      </c>
      <c r="B441" s="3" t="s">
        <v>428</v>
      </c>
      <c r="C441" s="3" t="str">
        <f>"黎娜"</f>
        <v>黎娜</v>
      </c>
      <c r="D441" s="3" t="s">
        <v>441</v>
      </c>
    </row>
    <row r="442" spans="1:4" ht="24.75" customHeight="1">
      <c r="A442" s="3" t="str">
        <f>"34892021110309061937523"</f>
        <v>34892021110309061937523</v>
      </c>
      <c r="B442" s="3" t="s">
        <v>428</v>
      </c>
      <c r="C442" s="3" t="str">
        <f>"邓露"</f>
        <v>邓露</v>
      </c>
      <c r="D442" s="3" t="s">
        <v>442</v>
      </c>
    </row>
    <row r="443" spans="1:4" ht="24.75" customHeight="1">
      <c r="A443" s="3" t="str">
        <f>"34892021110309063837525"</f>
        <v>34892021110309063837525</v>
      </c>
      <c r="B443" s="3" t="s">
        <v>428</v>
      </c>
      <c r="C443" s="3" t="str">
        <f>"王素玲"</f>
        <v>王素玲</v>
      </c>
      <c r="D443" s="3" t="s">
        <v>443</v>
      </c>
    </row>
    <row r="444" spans="1:4" ht="24.75" customHeight="1">
      <c r="A444" s="3" t="str">
        <f>"34892021110309072837536"</f>
        <v>34892021110309072837536</v>
      </c>
      <c r="B444" s="3" t="s">
        <v>428</v>
      </c>
      <c r="C444" s="3" t="str">
        <f>"符环丹"</f>
        <v>符环丹</v>
      </c>
      <c r="D444" s="3" t="s">
        <v>444</v>
      </c>
    </row>
    <row r="445" spans="1:4" ht="24.75" customHeight="1">
      <c r="A445" s="3" t="str">
        <f>"34892021110309075137540"</f>
        <v>34892021110309075137540</v>
      </c>
      <c r="B445" s="3" t="s">
        <v>428</v>
      </c>
      <c r="C445" s="3" t="str">
        <f>"陈伟泽"</f>
        <v>陈伟泽</v>
      </c>
      <c r="D445" s="3" t="s">
        <v>445</v>
      </c>
    </row>
    <row r="446" spans="1:4" ht="24.75" customHeight="1">
      <c r="A446" s="3" t="str">
        <f>"34892021110309083937547"</f>
        <v>34892021110309083937547</v>
      </c>
      <c r="B446" s="3" t="s">
        <v>428</v>
      </c>
      <c r="C446" s="3" t="str">
        <f>"符海媚"</f>
        <v>符海媚</v>
      </c>
      <c r="D446" s="3" t="s">
        <v>446</v>
      </c>
    </row>
    <row r="447" spans="1:4" ht="24.75" customHeight="1">
      <c r="A447" s="3" t="str">
        <f>"34892021110309084037548"</f>
        <v>34892021110309084037548</v>
      </c>
      <c r="B447" s="3" t="s">
        <v>428</v>
      </c>
      <c r="C447" s="3" t="str">
        <f>"苏朋"</f>
        <v>苏朋</v>
      </c>
      <c r="D447" s="3" t="s">
        <v>447</v>
      </c>
    </row>
    <row r="448" spans="1:4" ht="24.75" customHeight="1">
      <c r="A448" s="3" t="str">
        <f>"34892021110309100437557"</f>
        <v>34892021110309100437557</v>
      </c>
      <c r="B448" s="3" t="s">
        <v>428</v>
      </c>
      <c r="C448" s="3" t="str">
        <f>"蔡兴娇"</f>
        <v>蔡兴娇</v>
      </c>
      <c r="D448" s="3" t="s">
        <v>359</v>
      </c>
    </row>
    <row r="449" spans="1:4" ht="24.75" customHeight="1">
      <c r="A449" s="3" t="str">
        <f>"34892021110309102237559"</f>
        <v>34892021110309102237559</v>
      </c>
      <c r="B449" s="3" t="s">
        <v>428</v>
      </c>
      <c r="C449" s="3" t="str">
        <f>"林诗放"</f>
        <v>林诗放</v>
      </c>
      <c r="D449" s="3" t="s">
        <v>448</v>
      </c>
    </row>
    <row r="450" spans="1:4" ht="24.75" customHeight="1">
      <c r="A450" s="3" t="str">
        <f>"34892021110309102437560"</f>
        <v>34892021110309102437560</v>
      </c>
      <c r="B450" s="3" t="s">
        <v>428</v>
      </c>
      <c r="C450" s="3" t="str">
        <f>"廖小妮"</f>
        <v>廖小妮</v>
      </c>
      <c r="D450" s="3" t="s">
        <v>433</v>
      </c>
    </row>
    <row r="451" spans="1:4" ht="24.75" customHeight="1">
      <c r="A451" s="3" t="str">
        <f>"34892021110309105237564"</f>
        <v>34892021110309105237564</v>
      </c>
      <c r="B451" s="3" t="s">
        <v>428</v>
      </c>
      <c r="C451" s="3" t="str">
        <f>"薛显威"</f>
        <v>薛显威</v>
      </c>
      <c r="D451" s="3" t="s">
        <v>449</v>
      </c>
    </row>
    <row r="452" spans="1:4" ht="24.75" customHeight="1">
      <c r="A452" s="3" t="str">
        <f>"34892021110309112937567"</f>
        <v>34892021110309112937567</v>
      </c>
      <c r="B452" s="3" t="s">
        <v>428</v>
      </c>
      <c r="C452" s="3" t="str">
        <f>"林绍龙"</f>
        <v>林绍龙</v>
      </c>
      <c r="D452" s="3" t="s">
        <v>450</v>
      </c>
    </row>
    <row r="453" spans="1:4" ht="24.75" customHeight="1">
      <c r="A453" s="3" t="str">
        <f>"34892021110309123937585"</f>
        <v>34892021110309123937585</v>
      </c>
      <c r="B453" s="3" t="s">
        <v>428</v>
      </c>
      <c r="C453" s="3" t="str">
        <f>"严国旺"</f>
        <v>严国旺</v>
      </c>
      <c r="D453" s="3" t="s">
        <v>451</v>
      </c>
    </row>
    <row r="454" spans="1:4" ht="24.75" customHeight="1">
      <c r="A454" s="3" t="str">
        <f>"34892021110309133837592"</f>
        <v>34892021110309133837592</v>
      </c>
      <c r="B454" s="3" t="s">
        <v>428</v>
      </c>
      <c r="C454" s="3" t="str">
        <f>"陈国妮"</f>
        <v>陈国妮</v>
      </c>
      <c r="D454" s="3" t="s">
        <v>452</v>
      </c>
    </row>
    <row r="455" spans="1:4" ht="24.75" customHeight="1">
      <c r="A455" s="3" t="str">
        <f>"34892021110309135037594"</f>
        <v>34892021110309135037594</v>
      </c>
      <c r="B455" s="3" t="s">
        <v>428</v>
      </c>
      <c r="C455" s="3" t="str">
        <f>"邢维忠"</f>
        <v>邢维忠</v>
      </c>
      <c r="D455" s="3" t="s">
        <v>453</v>
      </c>
    </row>
    <row r="456" spans="1:4" ht="24.75" customHeight="1">
      <c r="A456" s="3" t="str">
        <f>"34892021110309141437595"</f>
        <v>34892021110309141437595</v>
      </c>
      <c r="B456" s="3" t="s">
        <v>428</v>
      </c>
      <c r="C456" s="3" t="str">
        <f>"邓苏萍"</f>
        <v>邓苏萍</v>
      </c>
      <c r="D456" s="3" t="s">
        <v>454</v>
      </c>
    </row>
    <row r="457" spans="1:4" ht="24.75" customHeight="1">
      <c r="A457" s="3" t="str">
        <f>"34892021110309144637598"</f>
        <v>34892021110309144637598</v>
      </c>
      <c r="B457" s="3" t="s">
        <v>428</v>
      </c>
      <c r="C457" s="3" t="str">
        <f>"许立云"</f>
        <v>许立云</v>
      </c>
      <c r="D457" s="3" t="s">
        <v>455</v>
      </c>
    </row>
    <row r="458" spans="1:4" ht="24.75" customHeight="1">
      <c r="A458" s="3" t="str">
        <f>"34892021110309151237603"</f>
        <v>34892021110309151237603</v>
      </c>
      <c r="B458" s="3" t="s">
        <v>428</v>
      </c>
      <c r="C458" s="3" t="str">
        <f>"黄平"</f>
        <v>黄平</v>
      </c>
      <c r="D458" s="3" t="s">
        <v>456</v>
      </c>
    </row>
    <row r="459" spans="1:4" ht="24.75" customHeight="1">
      <c r="A459" s="3" t="str">
        <f>"34892021110309161837613"</f>
        <v>34892021110309161837613</v>
      </c>
      <c r="B459" s="3" t="s">
        <v>428</v>
      </c>
      <c r="C459" s="3" t="str">
        <f>"王海容"</f>
        <v>王海容</v>
      </c>
      <c r="D459" s="3" t="s">
        <v>457</v>
      </c>
    </row>
    <row r="460" spans="1:4" ht="24.75" customHeight="1">
      <c r="A460" s="3" t="str">
        <f>"34892021110309171237621"</f>
        <v>34892021110309171237621</v>
      </c>
      <c r="B460" s="3" t="s">
        <v>428</v>
      </c>
      <c r="C460" s="3" t="str">
        <f>"吴忠森"</f>
        <v>吴忠森</v>
      </c>
      <c r="D460" s="3" t="s">
        <v>458</v>
      </c>
    </row>
    <row r="461" spans="1:4" ht="24.75" customHeight="1">
      <c r="A461" s="3" t="str">
        <f>"34892021110309181837632"</f>
        <v>34892021110309181837632</v>
      </c>
      <c r="B461" s="3" t="s">
        <v>428</v>
      </c>
      <c r="C461" s="3" t="str">
        <f>"唐飞燕"</f>
        <v>唐飞燕</v>
      </c>
      <c r="D461" s="3" t="s">
        <v>459</v>
      </c>
    </row>
    <row r="462" spans="1:4" ht="24.75" customHeight="1">
      <c r="A462" s="3" t="str">
        <f>"34892021110309182737635"</f>
        <v>34892021110309182737635</v>
      </c>
      <c r="B462" s="3" t="s">
        <v>428</v>
      </c>
      <c r="C462" s="3" t="str">
        <f>"岑彩思"</f>
        <v>岑彩思</v>
      </c>
      <c r="D462" s="3" t="s">
        <v>460</v>
      </c>
    </row>
    <row r="463" spans="1:4" ht="24.75" customHeight="1">
      <c r="A463" s="3" t="str">
        <f>"34892021110309183537638"</f>
        <v>34892021110309183537638</v>
      </c>
      <c r="B463" s="3" t="s">
        <v>428</v>
      </c>
      <c r="C463" s="3" t="str">
        <f>"任国铭"</f>
        <v>任国铭</v>
      </c>
      <c r="D463" s="3" t="s">
        <v>461</v>
      </c>
    </row>
    <row r="464" spans="1:4" ht="24.75" customHeight="1">
      <c r="A464" s="3" t="str">
        <f>"34892021110309194337649"</f>
        <v>34892021110309194337649</v>
      </c>
      <c r="B464" s="3" t="s">
        <v>428</v>
      </c>
      <c r="C464" s="3" t="str">
        <f>"韩芬"</f>
        <v>韩芬</v>
      </c>
      <c r="D464" s="3" t="s">
        <v>462</v>
      </c>
    </row>
    <row r="465" spans="1:4" ht="24.75" customHeight="1">
      <c r="A465" s="3" t="str">
        <f>"34892021110309201037656"</f>
        <v>34892021110309201037656</v>
      </c>
      <c r="B465" s="3" t="s">
        <v>428</v>
      </c>
      <c r="C465" s="3" t="str">
        <f>"符艳艳"</f>
        <v>符艳艳</v>
      </c>
      <c r="D465" s="3" t="s">
        <v>463</v>
      </c>
    </row>
    <row r="466" spans="1:4" ht="24.75" customHeight="1">
      <c r="A466" s="3" t="str">
        <f>"34892021110309204837662"</f>
        <v>34892021110309204837662</v>
      </c>
      <c r="B466" s="3" t="s">
        <v>428</v>
      </c>
      <c r="C466" s="3" t="str">
        <f>"蔡於旺"</f>
        <v>蔡於旺</v>
      </c>
      <c r="D466" s="3" t="s">
        <v>464</v>
      </c>
    </row>
    <row r="467" spans="1:4" ht="24.75" customHeight="1">
      <c r="A467" s="3" t="str">
        <f>"34892021110309204937663"</f>
        <v>34892021110309204937663</v>
      </c>
      <c r="B467" s="3" t="s">
        <v>428</v>
      </c>
      <c r="C467" s="3" t="str">
        <f>"李基鹏"</f>
        <v>李基鹏</v>
      </c>
      <c r="D467" s="3" t="s">
        <v>465</v>
      </c>
    </row>
    <row r="468" spans="1:4" ht="24.75" customHeight="1">
      <c r="A468" s="3" t="str">
        <f>"34892021110309212137665"</f>
        <v>34892021110309212137665</v>
      </c>
      <c r="B468" s="3" t="s">
        <v>428</v>
      </c>
      <c r="C468" s="3" t="str">
        <f>"赫禹杭"</f>
        <v>赫禹杭</v>
      </c>
      <c r="D468" s="3" t="s">
        <v>466</v>
      </c>
    </row>
    <row r="469" spans="1:4" ht="24.75" customHeight="1">
      <c r="A469" s="3" t="str">
        <f>"34892021110309214537667"</f>
        <v>34892021110309214537667</v>
      </c>
      <c r="B469" s="3" t="s">
        <v>428</v>
      </c>
      <c r="C469" s="3" t="str">
        <f>"王辉富"</f>
        <v>王辉富</v>
      </c>
      <c r="D469" s="3" t="s">
        <v>467</v>
      </c>
    </row>
    <row r="470" spans="1:4" ht="24.75" customHeight="1">
      <c r="A470" s="3" t="str">
        <f>"34892021110309215037668"</f>
        <v>34892021110309215037668</v>
      </c>
      <c r="B470" s="3" t="s">
        <v>428</v>
      </c>
      <c r="C470" s="3" t="str">
        <f>"王翔"</f>
        <v>王翔</v>
      </c>
      <c r="D470" s="3" t="s">
        <v>468</v>
      </c>
    </row>
    <row r="471" spans="1:4" ht="24.75" customHeight="1">
      <c r="A471" s="3" t="str">
        <f>"34892021110309220737670"</f>
        <v>34892021110309220737670</v>
      </c>
      <c r="B471" s="3" t="s">
        <v>428</v>
      </c>
      <c r="C471" s="3" t="str">
        <f>"黄千钦"</f>
        <v>黄千钦</v>
      </c>
      <c r="D471" s="3" t="s">
        <v>469</v>
      </c>
    </row>
    <row r="472" spans="1:4" ht="24.75" customHeight="1">
      <c r="A472" s="3" t="str">
        <f>"34892021110309221237671"</f>
        <v>34892021110309221237671</v>
      </c>
      <c r="B472" s="3" t="s">
        <v>428</v>
      </c>
      <c r="C472" s="3" t="str">
        <f>"莫治策"</f>
        <v>莫治策</v>
      </c>
      <c r="D472" s="3" t="s">
        <v>470</v>
      </c>
    </row>
    <row r="473" spans="1:4" ht="24.75" customHeight="1">
      <c r="A473" s="3" t="str">
        <f>"34892021110309231637681"</f>
        <v>34892021110309231637681</v>
      </c>
      <c r="B473" s="3" t="s">
        <v>428</v>
      </c>
      <c r="C473" s="3" t="str">
        <f>"周让强"</f>
        <v>周让强</v>
      </c>
      <c r="D473" s="3" t="s">
        <v>471</v>
      </c>
    </row>
    <row r="474" spans="1:4" ht="24.75" customHeight="1">
      <c r="A474" s="3" t="str">
        <f>"34892021110309231637682"</f>
        <v>34892021110309231637682</v>
      </c>
      <c r="B474" s="3" t="s">
        <v>428</v>
      </c>
      <c r="C474" s="3" t="str">
        <f>"林芳"</f>
        <v>林芳</v>
      </c>
      <c r="D474" s="3" t="s">
        <v>472</v>
      </c>
    </row>
    <row r="475" spans="1:4" ht="24.75" customHeight="1">
      <c r="A475" s="3" t="str">
        <f>"34892021110309254137710"</f>
        <v>34892021110309254137710</v>
      </c>
      <c r="B475" s="3" t="s">
        <v>428</v>
      </c>
      <c r="C475" s="3" t="str">
        <f>"李晓文"</f>
        <v>李晓文</v>
      </c>
      <c r="D475" s="3" t="s">
        <v>473</v>
      </c>
    </row>
    <row r="476" spans="1:4" ht="24.75" customHeight="1">
      <c r="A476" s="3" t="str">
        <f>"34892021110309254637712"</f>
        <v>34892021110309254637712</v>
      </c>
      <c r="B476" s="3" t="s">
        <v>428</v>
      </c>
      <c r="C476" s="3" t="str">
        <f>"杨庆"</f>
        <v>杨庆</v>
      </c>
      <c r="D476" s="3" t="s">
        <v>474</v>
      </c>
    </row>
    <row r="477" spans="1:4" ht="24.75" customHeight="1">
      <c r="A477" s="3" t="str">
        <f>"34892021110309264937716"</f>
        <v>34892021110309264937716</v>
      </c>
      <c r="B477" s="3" t="s">
        <v>428</v>
      </c>
      <c r="C477" s="3" t="str">
        <f>"王素素"</f>
        <v>王素素</v>
      </c>
      <c r="D477" s="3" t="s">
        <v>104</v>
      </c>
    </row>
    <row r="478" spans="1:4" ht="24.75" customHeight="1">
      <c r="A478" s="3" t="str">
        <f>"34892021110309270237720"</f>
        <v>34892021110309270237720</v>
      </c>
      <c r="B478" s="3" t="s">
        <v>428</v>
      </c>
      <c r="C478" s="3" t="str">
        <f>"刘丹花"</f>
        <v>刘丹花</v>
      </c>
      <c r="D478" s="3" t="s">
        <v>475</v>
      </c>
    </row>
    <row r="479" spans="1:4" ht="24.75" customHeight="1">
      <c r="A479" s="3" t="str">
        <f>"34892021110309272337723"</f>
        <v>34892021110309272337723</v>
      </c>
      <c r="B479" s="3" t="s">
        <v>428</v>
      </c>
      <c r="C479" s="3" t="str">
        <f>"蔡冠婷"</f>
        <v>蔡冠婷</v>
      </c>
      <c r="D479" s="3" t="s">
        <v>476</v>
      </c>
    </row>
    <row r="480" spans="1:4" ht="24.75" customHeight="1">
      <c r="A480" s="3" t="str">
        <f>"34892021110309275837732"</f>
        <v>34892021110309275837732</v>
      </c>
      <c r="B480" s="3" t="s">
        <v>428</v>
      </c>
      <c r="C480" s="3" t="str">
        <f>"林妙玲"</f>
        <v>林妙玲</v>
      </c>
      <c r="D480" s="3" t="s">
        <v>477</v>
      </c>
    </row>
    <row r="481" spans="1:4" ht="24.75" customHeight="1">
      <c r="A481" s="3" t="str">
        <f>"34892021110309283037739"</f>
        <v>34892021110309283037739</v>
      </c>
      <c r="B481" s="3" t="s">
        <v>428</v>
      </c>
      <c r="C481" s="3" t="str">
        <f>"王世尧"</f>
        <v>王世尧</v>
      </c>
      <c r="D481" s="3" t="s">
        <v>478</v>
      </c>
    </row>
    <row r="482" spans="1:4" ht="24.75" customHeight="1">
      <c r="A482" s="3" t="str">
        <f>"34892021110309305037767"</f>
        <v>34892021110309305037767</v>
      </c>
      <c r="B482" s="3" t="s">
        <v>428</v>
      </c>
      <c r="C482" s="3" t="str">
        <f>"廖月容"</f>
        <v>廖月容</v>
      </c>
      <c r="D482" s="3" t="s">
        <v>479</v>
      </c>
    </row>
    <row r="483" spans="1:4" ht="24.75" customHeight="1">
      <c r="A483" s="3" t="str">
        <f>"34892021110309314737775"</f>
        <v>34892021110309314737775</v>
      </c>
      <c r="B483" s="3" t="s">
        <v>428</v>
      </c>
      <c r="C483" s="3" t="str">
        <f>"符贵光"</f>
        <v>符贵光</v>
      </c>
      <c r="D483" s="3" t="s">
        <v>480</v>
      </c>
    </row>
    <row r="484" spans="1:4" ht="24.75" customHeight="1">
      <c r="A484" s="3" t="str">
        <f>"34892021110309320437778"</f>
        <v>34892021110309320437778</v>
      </c>
      <c r="B484" s="3" t="s">
        <v>428</v>
      </c>
      <c r="C484" s="3" t="str">
        <f>"罗川警"</f>
        <v>罗川警</v>
      </c>
      <c r="D484" s="3" t="s">
        <v>481</v>
      </c>
    </row>
    <row r="485" spans="1:4" ht="24.75" customHeight="1">
      <c r="A485" s="3" t="str">
        <f>"34892021110309322437781"</f>
        <v>34892021110309322437781</v>
      </c>
      <c r="B485" s="3" t="s">
        <v>428</v>
      </c>
      <c r="C485" s="3" t="str">
        <f>"王月江"</f>
        <v>王月江</v>
      </c>
      <c r="D485" s="3" t="s">
        <v>482</v>
      </c>
    </row>
    <row r="486" spans="1:4" ht="24.75" customHeight="1">
      <c r="A486" s="3" t="str">
        <f>"34892021110309350437800"</f>
        <v>34892021110309350437800</v>
      </c>
      <c r="B486" s="3" t="s">
        <v>428</v>
      </c>
      <c r="C486" s="3" t="str">
        <f>"罗成奎"</f>
        <v>罗成奎</v>
      </c>
      <c r="D486" s="3" t="s">
        <v>483</v>
      </c>
    </row>
    <row r="487" spans="1:4" ht="24.75" customHeight="1">
      <c r="A487" s="3" t="str">
        <f>"34892021110309352037804"</f>
        <v>34892021110309352037804</v>
      </c>
      <c r="B487" s="3" t="s">
        <v>428</v>
      </c>
      <c r="C487" s="3" t="str">
        <f>"王大斌"</f>
        <v>王大斌</v>
      </c>
      <c r="D487" s="3" t="s">
        <v>484</v>
      </c>
    </row>
    <row r="488" spans="1:4" ht="24.75" customHeight="1">
      <c r="A488" s="3" t="str">
        <f>"34892021110309352137805"</f>
        <v>34892021110309352137805</v>
      </c>
      <c r="B488" s="3" t="s">
        <v>428</v>
      </c>
      <c r="C488" s="3" t="str">
        <f>"王恩博"</f>
        <v>王恩博</v>
      </c>
      <c r="D488" s="3" t="s">
        <v>485</v>
      </c>
    </row>
    <row r="489" spans="1:4" ht="24.75" customHeight="1">
      <c r="A489" s="3" t="str">
        <f>"34892021110309355037808"</f>
        <v>34892021110309355037808</v>
      </c>
      <c r="B489" s="3" t="s">
        <v>428</v>
      </c>
      <c r="C489" s="3" t="str">
        <f>"王小莹"</f>
        <v>王小莹</v>
      </c>
      <c r="D489" s="3" t="s">
        <v>468</v>
      </c>
    </row>
    <row r="490" spans="1:4" ht="24.75" customHeight="1">
      <c r="A490" s="3" t="str">
        <f>"34892021110309360337810"</f>
        <v>34892021110309360337810</v>
      </c>
      <c r="B490" s="3" t="s">
        <v>428</v>
      </c>
      <c r="C490" s="3" t="str">
        <f>"苏紫腾"</f>
        <v>苏紫腾</v>
      </c>
      <c r="D490" s="3" t="s">
        <v>476</v>
      </c>
    </row>
    <row r="491" spans="1:4" ht="24.75" customHeight="1">
      <c r="A491" s="3" t="str">
        <f>"34892021110309360737811"</f>
        <v>34892021110309360737811</v>
      </c>
      <c r="B491" s="3" t="s">
        <v>428</v>
      </c>
      <c r="C491" s="3" t="str">
        <f>"吴晓雪"</f>
        <v>吴晓雪</v>
      </c>
      <c r="D491" s="3" t="s">
        <v>85</v>
      </c>
    </row>
    <row r="492" spans="1:4" ht="24.75" customHeight="1">
      <c r="A492" s="3" t="str">
        <f>"34892021110309360837812"</f>
        <v>34892021110309360837812</v>
      </c>
      <c r="B492" s="3" t="s">
        <v>428</v>
      </c>
      <c r="C492" s="3" t="str">
        <f>"吴武晋"</f>
        <v>吴武晋</v>
      </c>
      <c r="D492" s="3" t="s">
        <v>486</v>
      </c>
    </row>
    <row r="493" spans="1:4" ht="24.75" customHeight="1">
      <c r="A493" s="3" t="str">
        <f>"34892021110309361037814"</f>
        <v>34892021110309361037814</v>
      </c>
      <c r="B493" s="3" t="s">
        <v>428</v>
      </c>
      <c r="C493" s="3" t="str">
        <f>"廉甄青宇"</f>
        <v>廉甄青宇</v>
      </c>
      <c r="D493" s="3" t="s">
        <v>487</v>
      </c>
    </row>
    <row r="494" spans="1:4" ht="24.75" customHeight="1">
      <c r="A494" s="3" t="str">
        <f>"34892021110309371437823"</f>
        <v>34892021110309371437823</v>
      </c>
      <c r="B494" s="3" t="s">
        <v>428</v>
      </c>
      <c r="C494" s="3" t="str">
        <f>"彭珏熹"</f>
        <v>彭珏熹</v>
      </c>
      <c r="D494" s="3" t="s">
        <v>488</v>
      </c>
    </row>
    <row r="495" spans="1:4" ht="24.75" customHeight="1">
      <c r="A495" s="3" t="str">
        <f>"34892021110309381937834"</f>
        <v>34892021110309381937834</v>
      </c>
      <c r="B495" s="3" t="s">
        <v>428</v>
      </c>
      <c r="C495" s="3" t="str">
        <f>"钟温建"</f>
        <v>钟温建</v>
      </c>
      <c r="D495" s="3" t="s">
        <v>489</v>
      </c>
    </row>
    <row r="496" spans="1:4" ht="24.75" customHeight="1">
      <c r="A496" s="3" t="str">
        <f>"34892021110309383037838"</f>
        <v>34892021110309383037838</v>
      </c>
      <c r="B496" s="3" t="s">
        <v>428</v>
      </c>
      <c r="C496" s="3" t="str">
        <f>"张娜"</f>
        <v>张娜</v>
      </c>
      <c r="D496" s="3" t="s">
        <v>490</v>
      </c>
    </row>
    <row r="497" spans="1:4" ht="24.75" customHeight="1">
      <c r="A497" s="3" t="str">
        <f>"34892021110309385137841"</f>
        <v>34892021110309385137841</v>
      </c>
      <c r="B497" s="3" t="s">
        <v>428</v>
      </c>
      <c r="C497" s="3" t="str">
        <f>"吴美妹"</f>
        <v>吴美妹</v>
      </c>
      <c r="D497" s="3" t="s">
        <v>491</v>
      </c>
    </row>
    <row r="498" spans="1:4" ht="24.75" customHeight="1">
      <c r="A498" s="3" t="str">
        <f>"34892021110309392237845"</f>
        <v>34892021110309392237845</v>
      </c>
      <c r="B498" s="3" t="s">
        <v>428</v>
      </c>
      <c r="C498" s="3" t="str">
        <f>"桑叶"</f>
        <v>桑叶</v>
      </c>
      <c r="D498" s="3" t="s">
        <v>492</v>
      </c>
    </row>
    <row r="499" spans="1:4" ht="24.75" customHeight="1">
      <c r="A499" s="3" t="str">
        <f>"34892021110309393837848"</f>
        <v>34892021110309393837848</v>
      </c>
      <c r="B499" s="3" t="s">
        <v>428</v>
      </c>
      <c r="C499" s="3" t="str">
        <f>"吴雪霜"</f>
        <v>吴雪霜</v>
      </c>
      <c r="D499" s="3" t="s">
        <v>493</v>
      </c>
    </row>
    <row r="500" spans="1:4" ht="24.75" customHeight="1">
      <c r="A500" s="3" t="str">
        <f>"34892021110309400837852"</f>
        <v>34892021110309400837852</v>
      </c>
      <c r="B500" s="3" t="s">
        <v>428</v>
      </c>
      <c r="C500" s="3" t="str">
        <f>"岑海曼"</f>
        <v>岑海曼</v>
      </c>
      <c r="D500" s="3" t="s">
        <v>196</v>
      </c>
    </row>
    <row r="501" spans="1:4" ht="24.75" customHeight="1">
      <c r="A501" s="3" t="str">
        <f>"34892021110309405037857"</f>
        <v>34892021110309405037857</v>
      </c>
      <c r="B501" s="3" t="s">
        <v>428</v>
      </c>
      <c r="C501" s="3" t="str">
        <f>"陈俊帆"</f>
        <v>陈俊帆</v>
      </c>
      <c r="D501" s="3" t="s">
        <v>494</v>
      </c>
    </row>
    <row r="502" spans="1:4" ht="24.75" customHeight="1">
      <c r="A502" s="3" t="str">
        <f>"34892021110309425637881"</f>
        <v>34892021110309425637881</v>
      </c>
      <c r="B502" s="3" t="s">
        <v>428</v>
      </c>
      <c r="C502" s="3" t="str">
        <f>"符佳"</f>
        <v>符佳</v>
      </c>
      <c r="D502" s="3" t="s">
        <v>495</v>
      </c>
    </row>
    <row r="503" spans="1:4" ht="24.75" customHeight="1">
      <c r="A503" s="3" t="str">
        <f>"34892021110309435437887"</f>
        <v>34892021110309435437887</v>
      </c>
      <c r="B503" s="3" t="s">
        <v>428</v>
      </c>
      <c r="C503" s="3" t="str">
        <f>"林金花"</f>
        <v>林金花</v>
      </c>
      <c r="D503" s="3" t="s">
        <v>496</v>
      </c>
    </row>
    <row r="504" spans="1:4" ht="24.75" customHeight="1">
      <c r="A504" s="3" t="str">
        <f>"34892021110309441237889"</f>
        <v>34892021110309441237889</v>
      </c>
      <c r="B504" s="3" t="s">
        <v>428</v>
      </c>
      <c r="C504" s="3" t="str">
        <f>"廖厚今"</f>
        <v>廖厚今</v>
      </c>
      <c r="D504" s="3" t="s">
        <v>497</v>
      </c>
    </row>
    <row r="505" spans="1:4" ht="24.75" customHeight="1">
      <c r="A505" s="3" t="str">
        <f>"34892021110309445837897"</f>
        <v>34892021110309445837897</v>
      </c>
      <c r="B505" s="3" t="s">
        <v>428</v>
      </c>
      <c r="C505" s="3" t="str">
        <f>"洪二妹"</f>
        <v>洪二妹</v>
      </c>
      <c r="D505" s="3" t="s">
        <v>498</v>
      </c>
    </row>
    <row r="506" spans="1:4" ht="24.75" customHeight="1">
      <c r="A506" s="3" t="str">
        <f>"34892021110309450437898"</f>
        <v>34892021110309450437898</v>
      </c>
      <c r="B506" s="3" t="s">
        <v>428</v>
      </c>
      <c r="C506" s="3" t="str">
        <f>"符如曼"</f>
        <v>符如曼</v>
      </c>
      <c r="D506" s="3" t="s">
        <v>499</v>
      </c>
    </row>
    <row r="507" spans="1:4" ht="24.75" customHeight="1">
      <c r="A507" s="3" t="str">
        <f>"34892021110309453037903"</f>
        <v>34892021110309453037903</v>
      </c>
      <c r="B507" s="3" t="s">
        <v>428</v>
      </c>
      <c r="C507" s="3" t="str">
        <f>"李夏精"</f>
        <v>李夏精</v>
      </c>
      <c r="D507" s="3" t="s">
        <v>500</v>
      </c>
    </row>
    <row r="508" spans="1:4" ht="24.75" customHeight="1">
      <c r="A508" s="3" t="str">
        <f>"34892021110309453137904"</f>
        <v>34892021110309453137904</v>
      </c>
      <c r="B508" s="3" t="s">
        <v>428</v>
      </c>
      <c r="C508" s="3" t="str">
        <f>"孙霞"</f>
        <v>孙霞</v>
      </c>
      <c r="D508" s="3" t="s">
        <v>299</v>
      </c>
    </row>
    <row r="509" spans="1:4" ht="24.75" customHeight="1">
      <c r="A509" s="3" t="str">
        <f>"34892021110309453337905"</f>
        <v>34892021110309453337905</v>
      </c>
      <c r="B509" s="3" t="s">
        <v>428</v>
      </c>
      <c r="C509" s="3" t="str">
        <f>"王春蓉"</f>
        <v>王春蓉</v>
      </c>
      <c r="D509" s="3" t="s">
        <v>501</v>
      </c>
    </row>
    <row r="510" spans="1:4" ht="24.75" customHeight="1">
      <c r="A510" s="3" t="str">
        <f>"34892021110309455137909"</f>
        <v>34892021110309455137909</v>
      </c>
      <c r="B510" s="3" t="s">
        <v>428</v>
      </c>
      <c r="C510" s="3" t="str">
        <f>"郑春玲"</f>
        <v>郑春玲</v>
      </c>
      <c r="D510" s="3" t="s">
        <v>502</v>
      </c>
    </row>
    <row r="511" spans="1:4" ht="24.75" customHeight="1">
      <c r="A511" s="3" t="str">
        <f>"34892021110309462437913"</f>
        <v>34892021110309462437913</v>
      </c>
      <c r="B511" s="3" t="s">
        <v>428</v>
      </c>
      <c r="C511" s="3" t="str">
        <f>"莫贤娇"</f>
        <v>莫贤娇</v>
      </c>
      <c r="D511" s="3" t="s">
        <v>503</v>
      </c>
    </row>
    <row r="512" spans="1:4" ht="24.75" customHeight="1">
      <c r="A512" s="3" t="str">
        <f>"34892021110309462837914"</f>
        <v>34892021110309462837914</v>
      </c>
      <c r="B512" s="3" t="s">
        <v>428</v>
      </c>
      <c r="C512" s="3" t="str">
        <f>"文周彬"</f>
        <v>文周彬</v>
      </c>
      <c r="D512" s="3" t="s">
        <v>504</v>
      </c>
    </row>
    <row r="513" spans="1:4" ht="24.75" customHeight="1">
      <c r="A513" s="3" t="str">
        <f>"34892021110309484037929"</f>
        <v>34892021110309484037929</v>
      </c>
      <c r="B513" s="3" t="s">
        <v>428</v>
      </c>
      <c r="C513" s="3" t="str">
        <f>"翁巍"</f>
        <v>翁巍</v>
      </c>
      <c r="D513" s="3" t="s">
        <v>505</v>
      </c>
    </row>
    <row r="514" spans="1:4" ht="24.75" customHeight="1">
      <c r="A514" s="3" t="str">
        <f>"34892021110309500037935"</f>
        <v>34892021110309500037935</v>
      </c>
      <c r="B514" s="3" t="s">
        <v>428</v>
      </c>
      <c r="C514" s="3" t="str">
        <f>"刘珊"</f>
        <v>刘珊</v>
      </c>
      <c r="D514" s="3" t="s">
        <v>506</v>
      </c>
    </row>
    <row r="515" spans="1:4" ht="24.75" customHeight="1">
      <c r="A515" s="3" t="str">
        <f>"34892021110309520637953"</f>
        <v>34892021110309520637953</v>
      </c>
      <c r="B515" s="3" t="s">
        <v>428</v>
      </c>
      <c r="C515" s="3" t="str">
        <f>"郑延延"</f>
        <v>郑延延</v>
      </c>
      <c r="D515" s="3" t="s">
        <v>507</v>
      </c>
    </row>
    <row r="516" spans="1:4" ht="24.75" customHeight="1">
      <c r="A516" s="3" t="str">
        <f>"34892021110309521037954"</f>
        <v>34892021110309521037954</v>
      </c>
      <c r="B516" s="3" t="s">
        <v>428</v>
      </c>
      <c r="C516" s="3" t="str">
        <f>"黄海锋"</f>
        <v>黄海锋</v>
      </c>
      <c r="D516" s="3" t="s">
        <v>508</v>
      </c>
    </row>
    <row r="517" spans="1:4" ht="24.75" customHeight="1">
      <c r="A517" s="3" t="str">
        <f>"34892021110309522937957"</f>
        <v>34892021110309522937957</v>
      </c>
      <c r="B517" s="3" t="s">
        <v>428</v>
      </c>
      <c r="C517" s="3" t="str">
        <f>"谭斌"</f>
        <v>谭斌</v>
      </c>
      <c r="D517" s="3" t="s">
        <v>509</v>
      </c>
    </row>
    <row r="518" spans="1:4" ht="24.75" customHeight="1">
      <c r="A518" s="3" t="str">
        <f>"34892021110309530737968"</f>
        <v>34892021110309530737968</v>
      </c>
      <c r="B518" s="3" t="s">
        <v>428</v>
      </c>
      <c r="C518" s="3" t="str">
        <f>"吴海桂"</f>
        <v>吴海桂</v>
      </c>
      <c r="D518" s="3" t="s">
        <v>510</v>
      </c>
    </row>
    <row r="519" spans="1:4" ht="24.75" customHeight="1">
      <c r="A519" s="3" t="str">
        <f>"34892021110309532337969"</f>
        <v>34892021110309532337969</v>
      </c>
      <c r="B519" s="3" t="s">
        <v>428</v>
      </c>
      <c r="C519" s="3" t="str">
        <f>"王彩欣"</f>
        <v>王彩欣</v>
      </c>
      <c r="D519" s="3" t="s">
        <v>511</v>
      </c>
    </row>
    <row r="520" spans="1:4" ht="24.75" customHeight="1">
      <c r="A520" s="3" t="str">
        <f>"34892021110309544537985"</f>
        <v>34892021110309544537985</v>
      </c>
      <c r="B520" s="3" t="s">
        <v>428</v>
      </c>
      <c r="C520" s="3" t="str">
        <f>"郑小苗"</f>
        <v>郑小苗</v>
      </c>
      <c r="D520" s="3" t="s">
        <v>512</v>
      </c>
    </row>
    <row r="521" spans="1:4" ht="24.75" customHeight="1">
      <c r="A521" s="3" t="str">
        <f>"34892021110309545637987"</f>
        <v>34892021110309545637987</v>
      </c>
      <c r="B521" s="3" t="s">
        <v>428</v>
      </c>
      <c r="C521" s="3" t="str">
        <f>"尹文慧"</f>
        <v>尹文慧</v>
      </c>
      <c r="D521" s="3" t="s">
        <v>513</v>
      </c>
    </row>
    <row r="522" spans="1:4" ht="24.75" customHeight="1">
      <c r="A522" s="3" t="str">
        <f>"34892021110309581938016"</f>
        <v>34892021110309581938016</v>
      </c>
      <c r="B522" s="3" t="s">
        <v>428</v>
      </c>
      <c r="C522" s="3" t="str">
        <f>"刘乔颖"</f>
        <v>刘乔颖</v>
      </c>
      <c r="D522" s="3" t="s">
        <v>109</v>
      </c>
    </row>
    <row r="523" spans="1:4" ht="24.75" customHeight="1">
      <c r="A523" s="3" t="str">
        <f>"34892021110309584038020"</f>
        <v>34892021110309584038020</v>
      </c>
      <c r="B523" s="3" t="s">
        <v>428</v>
      </c>
      <c r="C523" s="3" t="str">
        <f>"李育雄"</f>
        <v>李育雄</v>
      </c>
      <c r="D523" s="3" t="s">
        <v>514</v>
      </c>
    </row>
    <row r="524" spans="1:4" ht="24.75" customHeight="1">
      <c r="A524" s="3" t="str">
        <f>"34892021110309585538023"</f>
        <v>34892021110309585538023</v>
      </c>
      <c r="B524" s="3" t="s">
        <v>428</v>
      </c>
      <c r="C524" s="3" t="str">
        <f>"何润林"</f>
        <v>何润林</v>
      </c>
      <c r="D524" s="3" t="s">
        <v>515</v>
      </c>
    </row>
    <row r="525" spans="1:4" ht="24.75" customHeight="1">
      <c r="A525" s="3" t="str">
        <f>"34892021110309592538029"</f>
        <v>34892021110309592538029</v>
      </c>
      <c r="B525" s="3" t="s">
        <v>428</v>
      </c>
      <c r="C525" s="3" t="str">
        <f>"蔡英宁"</f>
        <v>蔡英宁</v>
      </c>
      <c r="D525" s="3" t="s">
        <v>516</v>
      </c>
    </row>
    <row r="526" spans="1:4" ht="24.75" customHeight="1">
      <c r="A526" s="3" t="str">
        <f>"34892021110309594438033"</f>
        <v>34892021110309594438033</v>
      </c>
      <c r="B526" s="3" t="s">
        <v>428</v>
      </c>
      <c r="C526" s="3" t="str">
        <f>"张鹤东"</f>
        <v>张鹤东</v>
      </c>
      <c r="D526" s="3" t="s">
        <v>517</v>
      </c>
    </row>
    <row r="527" spans="1:4" ht="24.75" customHeight="1">
      <c r="A527" s="3" t="str">
        <f>"34892021110309594738035"</f>
        <v>34892021110309594738035</v>
      </c>
      <c r="B527" s="3" t="s">
        <v>428</v>
      </c>
      <c r="C527" s="3" t="str">
        <f>"麦明珍"</f>
        <v>麦明珍</v>
      </c>
      <c r="D527" s="3" t="s">
        <v>518</v>
      </c>
    </row>
    <row r="528" spans="1:4" ht="24.75" customHeight="1">
      <c r="A528" s="3" t="str">
        <f>"34892021110310001538040"</f>
        <v>34892021110310001538040</v>
      </c>
      <c r="B528" s="3" t="s">
        <v>428</v>
      </c>
      <c r="C528" s="3" t="str">
        <f>"陈昊"</f>
        <v>陈昊</v>
      </c>
      <c r="D528" s="3" t="s">
        <v>519</v>
      </c>
    </row>
    <row r="529" spans="1:4" ht="24.75" customHeight="1">
      <c r="A529" s="3" t="str">
        <f>"34892021110310014238047"</f>
        <v>34892021110310014238047</v>
      </c>
      <c r="B529" s="3" t="s">
        <v>428</v>
      </c>
      <c r="C529" s="3" t="str">
        <f>"刘敏"</f>
        <v>刘敏</v>
      </c>
      <c r="D529" s="3" t="s">
        <v>520</v>
      </c>
    </row>
    <row r="530" spans="1:4" ht="24.75" customHeight="1">
      <c r="A530" s="3" t="str">
        <f>"34892021110310034538062"</f>
        <v>34892021110310034538062</v>
      </c>
      <c r="B530" s="3" t="s">
        <v>428</v>
      </c>
      <c r="C530" s="3" t="str">
        <f>"王麟光"</f>
        <v>王麟光</v>
      </c>
      <c r="D530" s="3" t="s">
        <v>521</v>
      </c>
    </row>
    <row r="531" spans="1:4" ht="24.75" customHeight="1">
      <c r="A531" s="3" t="str">
        <f>"34892021110310043538074"</f>
        <v>34892021110310043538074</v>
      </c>
      <c r="B531" s="3" t="s">
        <v>428</v>
      </c>
      <c r="C531" s="3" t="str">
        <f>"林明达"</f>
        <v>林明达</v>
      </c>
      <c r="D531" s="3" t="s">
        <v>522</v>
      </c>
    </row>
    <row r="532" spans="1:4" ht="24.75" customHeight="1">
      <c r="A532" s="3" t="str">
        <f>"34892021110310045238076"</f>
        <v>34892021110310045238076</v>
      </c>
      <c r="B532" s="3" t="s">
        <v>428</v>
      </c>
      <c r="C532" s="3" t="str">
        <f>"王鹏"</f>
        <v>王鹏</v>
      </c>
      <c r="D532" s="3" t="s">
        <v>523</v>
      </c>
    </row>
    <row r="533" spans="1:4" ht="24.75" customHeight="1">
      <c r="A533" s="3" t="str">
        <f>"34892021110310054038084"</f>
        <v>34892021110310054038084</v>
      </c>
      <c r="B533" s="3" t="s">
        <v>428</v>
      </c>
      <c r="C533" s="3" t="str">
        <f>"李博"</f>
        <v>李博</v>
      </c>
      <c r="D533" s="3" t="s">
        <v>524</v>
      </c>
    </row>
    <row r="534" spans="1:4" ht="24.75" customHeight="1">
      <c r="A534" s="3" t="str">
        <f>"34892021110310063238094"</f>
        <v>34892021110310063238094</v>
      </c>
      <c r="B534" s="3" t="s">
        <v>428</v>
      </c>
      <c r="C534" s="3" t="str">
        <f>"黎祺昕"</f>
        <v>黎祺昕</v>
      </c>
      <c r="D534" s="3" t="s">
        <v>525</v>
      </c>
    </row>
    <row r="535" spans="1:4" ht="24.75" customHeight="1">
      <c r="A535" s="3" t="str">
        <f>"34892021110310063938097"</f>
        <v>34892021110310063938097</v>
      </c>
      <c r="B535" s="3" t="s">
        <v>428</v>
      </c>
      <c r="C535" s="3" t="str">
        <f>"符海敏"</f>
        <v>符海敏</v>
      </c>
      <c r="D535" s="3" t="s">
        <v>526</v>
      </c>
    </row>
    <row r="536" spans="1:4" ht="24.75" customHeight="1">
      <c r="A536" s="3" t="str">
        <f>"34892021110310072438106"</f>
        <v>34892021110310072438106</v>
      </c>
      <c r="B536" s="3" t="s">
        <v>428</v>
      </c>
      <c r="C536" s="3" t="str">
        <f>"李祥虎"</f>
        <v>李祥虎</v>
      </c>
      <c r="D536" s="3" t="s">
        <v>527</v>
      </c>
    </row>
    <row r="537" spans="1:4" ht="24.75" customHeight="1">
      <c r="A537" s="3" t="str">
        <f>"34892021110310080038111"</f>
        <v>34892021110310080038111</v>
      </c>
      <c r="B537" s="3" t="s">
        <v>428</v>
      </c>
      <c r="C537" s="3" t="str">
        <f>"张日荣"</f>
        <v>张日荣</v>
      </c>
      <c r="D537" s="3" t="s">
        <v>528</v>
      </c>
    </row>
    <row r="538" spans="1:4" ht="24.75" customHeight="1">
      <c r="A538" s="3" t="str">
        <f>"34892021110310081638115"</f>
        <v>34892021110310081638115</v>
      </c>
      <c r="B538" s="3" t="s">
        <v>428</v>
      </c>
      <c r="C538" s="3" t="str">
        <f>"王晓怡"</f>
        <v>王晓怡</v>
      </c>
      <c r="D538" s="3" t="s">
        <v>529</v>
      </c>
    </row>
    <row r="539" spans="1:4" ht="24.75" customHeight="1">
      <c r="A539" s="3" t="str">
        <f>"34892021110310085638124"</f>
        <v>34892021110310085638124</v>
      </c>
      <c r="B539" s="3" t="s">
        <v>428</v>
      </c>
      <c r="C539" s="3" t="str">
        <f>"邱上娥"</f>
        <v>邱上娥</v>
      </c>
      <c r="D539" s="3" t="s">
        <v>530</v>
      </c>
    </row>
    <row r="540" spans="1:4" ht="24.75" customHeight="1">
      <c r="A540" s="3" t="str">
        <f>"34892021110310090838126"</f>
        <v>34892021110310090838126</v>
      </c>
      <c r="B540" s="3" t="s">
        <v>428</v>
      </c>
      <c r="C540" s="3" t="str">
        <f>"王寅民"</f>
        <v>王寅民</v>
      </c>
      <c r="D540" s="3" t="s">
        <v>531</v>
      </c>
    </row>
    <row r="541" spans="1:4" ht="24.75" customHeight="1">
      <c r="A541" s="3" t="str">
        <f>"34892021110310091838128"</f>
        <v>34892021110310091838128</v>
      </c>
      <c r="B541" s="3" t="s">
        <v>428</v>
      </c>
      <c r="C541" s="3" t="str">
        <f>"吴清科"</f>
        <v>吴清科</v>
      </c>
      <c r="D541" s="3" t="s">
        <v>532</v>
      </c>
    </row>
    <row r="542" spans="1:4" ht="24.75" customHeight="1">
      <c r="A542" s="3" t="str">
        <f>"34892021110310101938139"</f>
        <v>34892021110310101938139</v>
      </c>
      <c r="B542" s="3" t="s">
        <v>428</v>
      </c>
      <c r="C542" s="3" t="str">
        <f>"饶朝晖"</f>
        <v>饶朝晖</v>
      </c>
      <c r="D542" s="3" t="s">
        <v>533</v>
      </c>
    </row>
    <row r="543" spans="1:4" ht="24.75" customHeight="1">
      <c r="A543" s="3" t="str">
        <f>"34892021110310113338146"</f>
        <v>34892021110310113338146</v>
      </c>
      <c r="B543" s="3" t="s">
        <v>428</v>
      </c>
      <c r="C543" s="3" t="str">
        <f>"李日美"</f>
        <v>李日美</v>
      </c>
      <c r="D543" s="3" t="s">
        <v>534</v>
      </c>
    </row>
    <row r="544" spans="1:4" ht="24.75" customHeight="1">
      <c r="A544" s="3" t="str">
        <f>"34892021110310115038152"</f>
        <v>34892021110310115038152</v>
      </c>
      <c r="B544" s="3" t="s">
        <v>428</v>
      </c>
      <c r="C544" s="3" t="str">
        <f>"梁生培"</f>
        <v>梁生培</v>
      </c>
      <c r="D544" s="3" t="s">
        <v>535</v>
      </c>
    </row>
    <row r="545" spans="1:4" ht="24.75" customHeight="1">
      <c r="A545" s="3" t="str">
        <f>"34892021110310130938166"</f>
        <v>34892021110310130938166</v>
      </c>
      <c r="B545" s="3" t="s">
        <v>428</v>
      </c>
      <c r="C545" s="3" t="str">
        <f>"符瑞女"</f>
        <v>符瑞女</v>
      </c>
      <c r="D545" s="3" t="s">
        <v>536</v>
      </c>
    </row>
    <row r="546" spans="1:4" ht="24.75" customHeight="1">
      <c r="A546" s="3" t="str">
        <f>"34892021110310140038170"</f>
        <v>34892021110310140038170</v>
      </c>
      <c r="B546" s="3" t="s">
        <v>428</v>
      </c>
      <c r="C546" s="3" t="str">
        <f>"蒙俊灸"</f>
        <v>蒙俊灸</v>
      </c>
      <c r="D546" s="3" t="s">
        <v>464</v>
      </c>
    </row>
    <row r="547" spans="1:4" ht="24.75" customHeight="1">
      <c r="A547" s="3" t="str">
        <f>"34892021110310140338172"</f>
        <v>34892021110310140338172</v>
      </c>
      <c r="B547" s="3" t="s">
        <v>428</v>
      </c>
      <c r="C547" s="3" t="str">
        <f>"黄潘蝶"</f>
        <v>黄潘蝶</v>
      </c>
      <c r="D547" s="3" t="s">
        <v>153</v>
      </c>
    </row>
    <row r="548" spans="1:4" ht="24.75" customHeight="1">
      <c r="A548" s="3" t="str">
        <f>"34892021110310141038174"</f>
        <v>34892021110310141038174</v>
      </c>
      <c r="B548" s="3" t="s">
        <v>428</v>
      </c>
      <c r="C548" s="3" t="str">
        <f>"陈川宇"</f>
        <v>陈川宇</v>
      </c>
      <c r="D548" s="3" t="s">
        <v>537</v>
      </c>
    </row>
    <row r="549" spans="1:4" ht="24.75" customHeight="1">
      <c r="A549" s="3" t="str">
        <f>"34892021110310144438182"</f>
        <v>34892021110310144438182</v>
      </c>
      <c r="B549" s="3" t="s">
        <v>428</v>
      </c>
      <c r="C549" s="3" t="str">
        <f>"王发鹏"</f>
        <v>王发鹏</v>
      </c>
      <c r="D549" s="3" t="s">
        <v>538</v>
      </c>
    </row>
    <row r="550" spans="1:4" ht="24.75" customHeight="1">
      <c r="A550" s="3" t="str">
        <f>"34892021110310144838183"</f>
        <v>34892021110310144838183</v>
      </c>
      <c r="B550" s="3" t="s">
        <v>428</v>
      </c>
      <c r="C550" s="3" t="str">
        <f>"杜心婉"</f>
        <v>杜心婉</v>
      </c>
      <c r="D550" s="3" t="s">
        <v>539</v>
      </c>
    </row>
    <row r="551" spans="1:4" ht="24.75" customHeight="1">
      <c r="A551" s="3" t="str">
        <f>"34892021110310145638185"</f>
        <v>34892021110310145638185</v>
      </c>
      <c r="B551" s="3" t="s">
        <v>428</v>
      </c>
      <c r="C551" s="3" t="str">
        <f>"王彩羽"</f>
        <v>王彩羽</v>
      </c>
      <c r="D551" s="3" t="s">
        <v>540</v>
      </c>
    </row>
    <row r="552" spans="1:4" ht="24.75" customHeight="1">
      <c r="A552" s="3" t="str">
        <f>"34892021110310151438188"</f>
        <v>34892021110310151438188</v>
      </c>
      <c r="B552" s="3" t="s">
        <v>428</v>
      </c>
      <c r="C552" s="3" t="str">
        <f>"李开华"</f>
        <v>李开华</v>
      </c>
      <c r="D552" s="3" t="s">
        <v>541</v>
      </c>
    </row>
    <row r="553" spans="1:4" ht="24.75" customHeight="1">
      <c r="A553" s="3" t="str">
        <f>"34892021110310151738189"</f>
        <v>34892021110310151738189</v>
      </c>
      <c r="B553" s="3" t="s">
        <v>428</v>
      </c>
      <c r="C553" s="3" t="str">
        <f>"陈豪"</f>
        <v>陈豪</v>
      </c>
      <c r="D553" s="3" t="s">
        <v>542</v>
      </c>
    </row>
    <row r="554" spans="1:4" ht="24.75" customHeight="1">
      <c r="A554" s="3" t="str">
        <f>"34892021110310155438194"</f>
        <v>34892021110310155438194</v>
      </c>
      <c r="B554" s="3" t="s">
        <v>428</v>
      </c>
      <c r="C554" s="3" t="str">
        <f>"王俊"</f>
        <v>王俊</v>
      </c>
      <c r="D554" s="3" t="s">
        <v>543</v>
      </c>
    </row>
    <row r="555" spans="1:4" ht="24.75" customHeight="1">
      <c r="A555" s="3" t="str">
        <f>"34892021110310185538223"</f>
        <v>34892021110310185538223</v>
      </c>
      <c r="B555" s="3" t="s">
        <v>428</v>
      </c>
      <c r="C555" s="3" t="str">
        <f>"谢雅竹"</f>
        <v>谢雅竹</v>
      </c>
      <c r="D555" s="3" t="s">
        <v>544</v>
      </c>
    </row>
    <row r="556" spans="1:4" ht="24.75" customHeight="1">
      <c r="A556" s="3" t="str">
        <f>"34892021110310190638226"</f>
        <v>34892021110310190638226</v>
      </c>
      <c r="B556" s="3" t="s">
        <v>428</v>
      </c>
      <c r="C556" s="3" t="str">
        <f>"吴阳丽"</f>
        <v>吴阳丽</v>
      </c>
      <c r="D556" s="3" t="s">
        <v>545</v>
      </c>
    </row>
    <row r="557" spans="1:4" ht="24.75" customHeight="1">
      <c r="A557" s="3" t="str">
        <f>"34892021110310194038232"</f>
        <v>34892021110310194038232</v>
      </c>
      <c r="B557" s="3" t="s">
        <v>428</v>
      </c>
      <c r="C557" s="3" t="str">
        <f>"薛春玲"</f>
        <v>薛春玲</v>
      </c>
      <c r="D557" s="3" t="s">
        <v>546</v>
      </c>
    </row>
    <row r="558" spans="1:4" ht="24.75" customHeight="1">
      <c r="A558" s="3" t="str">
        <f>"34892021110310200338235"</f>
        <v>34892021110310200338235</v>
      </c>
      <c r="B558" s="3" t="s">
        <v>428</v>
      </c>
      <c r="C558" s="3" t="str">
        <f>"符景笔"</f>
        <v>符景笔</v>
      </c>
      <c r="D558" s="3" t="s">
        <v>547</v>
      </c>
    </row>
    <row r="559" spans="1:4" ht="24.75" customHeight="1">
      <c r="A559" s="3" t="str">
        <f>"34892021110310202038238"</f>
        <v>34892021110310202038238</v>
      </c>
      <c r="B559" s="3" t="s">
        <v>428</v>
      </c>
      <c r="C559" s="3" t="str">
        <f>"程首钦"</f>
        <v>程首钦</v>
      </c>
      <c r="D559" s="3" t="s">
        <v>548</v>
      </c>
    </row>
    <row r="560" spans="1:4" ht="24.75" customHeight="1">
      <c r="A560" s="3" t="str">
        <f>"34892021110310234338267"</f>
        <v>34892021110310234338267</v>
      </c>
      <c r="B560" s="3" t="s">
        <v>428</v>
      </c>
      <c r="C560" s="3" t="str">
        <f>"郑进兴"</f>
        <v>郑进兴</v>
      </c>
      <c r="D560" s="3" t="s">
        <v>549</v>
      </c>
    </row>
    <row r="561" spans="1:4" ht="24.75" customHeight="1">
      <c r="A561" s="3" t="str">
        <f>"34892021110310253338282"</f>
        <v>34892021110310253338282</v>
      </c>
      <c r="B561" s="3" t="s">
        <v>428</v>
      </c>
      <c r="C561" s="3" t="str">
        <f>"刘小花"</f>
        <v>刘小花</v>
      </c>
      <c r="D561" s="3" t="s">
        <v>550</v>
      </c>
    </row>
    <row r="562" spans="1:4" ht="24.75" customHeight="1">
      <c r="A562" s="3" t="str">
        <f>"34892021110310261438291"</f>
        <v>34892021110310261438291</v>
      </c>
      <c r="B562" s="3" t="s">
        <v>428</v>
      </c>
      <c r="C562" s="3" t="str">
        <f>"陈玲"</f>
        <v>陈玲</v>
      </c>
      <c r="D562" s="3" t="s">
        <v>551</v>
      </c>
    </row>
    <row r="563" spans="1:4" ht="24.75" customHeight="1">
      <c r="A563" s="3" t="str">
        <f>"34892021110310262338292"</f>
        <v>34892021110310262338292</v>
      </c>
      <c r="B563" s="3" t="s">
        <v>428</v>
      </c>
      <c r="C563" s="3" t="str">
        <f>"任世丽"</f>
        <v>任世丽</v>
      </c>
      <c r="D563" s="3" t="s">
        <v>552</v>
      </c>
    </row>
    <row r="564" spans="1:4" ht="24.75" customHeight="1">
      <c r="A564" s="3" t="str">
        <f>"34892021110310271438302"</f>
        <v>34892021110310271438302</v>
      </c>
      <c r="B564" s="3" t="s">
        <v>428</v>
      </c>
      <c r="C564" s="3" t="str">
        <f>"符曾旋"</f>
        <v>符曾旋</v>
      </c>
      <c r="D564" s="3" t="s">
        <v>553</v>
      </c>
    </row>
    <row r="565" spans="1:4" ht="24.75" customHeight="1">
      <c r="A565" s="3" t="str">
        <f>"34892021110310275138305"</f>
        <v>34892021110310275138305</v>
      </c>
      <c r="B565" s="3" t="s">
        <v>428</v>
      </c>
      <c r="C565" s="3" t="str">
        <f>"邢琴"</f>
        <v>邢琴</v>
      </c>
      <c r="D565" s="3" t="s">
        <v>554</v>
      </c>
    </row>
    <row r="566" spans="1:4" ht="24.75" customHeight="1">
      <c r="A566" s="3" t="str">
        <f>"34892021110310275738306"</f>
        <v>34892021110310275738306</v>
      </c>
      <c r="B566" s="3" t="s">
        <v>428</v>
      </c>
      <c r="C566" s="3" t="str">
        <f>"许梅林"</f>
        <v>许梅林</v>
      </c>
      <c r="D566" s="3" t="s">
        <v>555</v>
      </c>
    </row>
    <row r="567" spans="1:4" ht="24.75" customHeight="1">
      <c r="A567" s="3" t="str">
        <f>"34892021110310281938310"</f>
        <v>34892021110310281938310</v>
      </c>
      <c r="B567" s="3" t="s">
        <v>428</v>
      </c>
      <c r="C567" s="3" t="str">
        <f>"陈云霞"</f>
        <v>陈云霞</v>
      </c>
      <c r="D567" s="3" t="s">
        <v>556</v>
      </c>
    </row>
    <row r="568" spans="1:4" ht="24.75" customHeight="1">
      <c r="A568" s="3" t="str">
        <f>"34892021110310294738322"</f>
        <v>34892021110310294738322</v>
      </c>
      <c r="B568" s="3" t="s">
        <v>428</v>
      </c>
      <c r="C568" s="3" t="str">
        <f>"陈绘屹"</f>
        <v>陈绘屹</v>
      </c>
      <c r="D568" s="3" t="s">
        <v>557</v>
      </c>
    </row>
    <row r="569" spans="1:4" ht="24.75" customHeight="1">
      <c r="A569" s="3" t="str">
        <f>"34892021110310305138327"</f>
        <v>34892021110310305138327</v>
      </c>
      <c r="B569" s="3" t="s">
        <v>428</v>
      </c>
      <c r="C569" s="3" t="str">
        <f>"符展鸿"</f>
        <v>符展鸿</v>
      </c>
      <c r="D569" s="3" t="s">
        <v>558</v>
      </c>
    </row>
    <row r="570" spans="1:4" ht="24.75" customHeight="1">
      <c r="A570" s="3" t="str">
        <f>"34892021110310313938335"</f>
        <v>34892021110310313938335</v>
      </c>
      <c r="B570" s="3" t="s">
        <v>428</v>
      </c>
      <c r="C570" s="3" t="str">
        <f>"杜传亮"</f>
        <v>杜传亮</v>
      </c>
      <c r="D570" s="3" t="s">
        <v>559</v>
      </c>
    </row>
    <row r="571" spans="1:4" ht="24.75" customHeight="1">
      <c r="A571" s="3" t="str">
        <f>"34892021110310314438336"</f>
        <v>34892021110310314438336</v>
      </c>
      <c r="B571" s="3" t="s">
        <v>428</v>
      </c>
      <c r="C571" s="3" t="str">
        <f>"许菲"</f>
        <v>许菲</v>
      </c>
      <c r="D571" s="3" t="s">
        <v>560</v>
      </c>
    </row>
    <row r="572" spans="1:4" ht="24.75" customHeight="1">
      <c r="A572" s="3" t="str">
        <f>"34892021110310322938343"</f>
        <v>34892021110310322938343</v>
      </c>
      <c r="B572" s="3" t="s">
        <v>428</v>
      </c>
      <c r="C572" s="3" t="str">
        <f>"黄小妹"</f>
        <v>黄小妹</v>
      </c>
      <c r="D572" s="3" t="s">
        <v>561</v>
      </c>
    </row>
    <row r="573" spans="1:4" ht="24.75" customHeight="1">
      <c r="A573" s="3" t="str">
        <f>"34892021110310325738347"</f>
        <v>34892021110310325738347</v>
      </c>
      <c r="B573" s="3" t="s">
        <v>428</v>
      </c>
      <c r="C573" s="3" t="str">
        <f>"吴爽"</f>
        <v>吴爽</v>
      </c>
      <c r="D573" s="3" t="s">
        <v>562</v>
      </c>
    </row>
    <row r="574" spans="1:4" ht="24.75" customHeight="1">
      <c r="A574" s="3" t="str">
        <f>"34892021110310352538370"</f>
        <v>34892021110310352538370</v>
      </c>
      <c r="B574" s="3" t="s">
        <v>428</v>
      </c>
      <c r="C574" s="3" t="str">
        <f>"陈敏"</f>
        <v>陈敏</v>
      </c>
      <c r="D574" s="3" t="s">
        <v>563</v>
      </c>
    </row>
    <row r="575" spans="1:4" ht="24.75" customHeight="1">
      <c r="A575" s="3" t="str">
        <f>"34892021110310353738374"</f>
        <v>34892021110310353738374</v>
      </c>
      <c r="B575" s="3" t="s">
        <v>428</v>
      </c>
      <c r="C575" s="3" t="str">
        <f>"吴亭"</f>
        <v>吴亭</v>
      </c>
      <c r="D575" s="3" t="s">
        <v>564</v>
      </c>
    </row>
    <row r="576" spans="1:4" ht="24.75" customHeight="1">
      <c r="A576" s="3" t="str">
        <f>"34892021110310362638382"</f>
        <v>34892021110310362638382</v>
      </c>
      <c r="B576" s="3" t="s">
        <v>428</v>
      </c>
      <c r="C576" s="3" t="str">
        <f>"符坚鹏"</f>
        <v>符坚鹏</v>
      </c>
      <c r="D576" s="3" t="s">
        <v>565</v>
      </c>
    </row>
    <row r="577" spans="1:4" ht="24.75" customHeight="1">
      <c r="A577" s="3" t="str">
        <f>"34892021110310362738383"</f>
        <v>34892021110310362738383</v>
      </c>
      <c r="B577" s="3" t="s">
        <v>428</v>
      </c>
      <c r="C577" s="3" t="str">
        <f>"梁楠"</f>
        <v>梁楠</v>
      </c>
      <c r="D577" s="3" t="s">
        <v>566</v>
      </c>
    </row>
    <row r="578" spans="1:4" ht="24.75" customHeight="1">
      <c r="A578" s="3" t="str">
        <f>"34892021110310363738384"</f>
        <v>34892021110310363738384</v>
      </c>
      <c r="B578" s="3" t="s">
        <v>428</v>
      </c>
      <c r="C578" s="3" t="str">
        <f>"陈崇帅"</f>
        <v>陈崇帅</v>
      </c>
      <c r="D578" s="3" t="s">
        <v>567</v>
      </c>
    </row>
    <row r="579" spans="1:4" ht="24.75" customHeight="1">
      <c r="A579" s="3" t="str">
        <f>"34892021110310374538392"</f>
        <v>34892021110310374538392</v>
      </c>
      <c r="B579" s="3" t="s">
        <v>428</v>
      </c>
      <c r="C579" s="3" t="str">
        <f>"杨坤"</f>
        <v>杨坤</v>
      </c>
      <c r="D579" s="3" t="s">
        <v>568</v>
      </c>
    </row>
    <row r="580" spans="1:4" ht="24.75" customHeight="1">
      <c r="A580" s="3" t="str">
        <f>"34892021110310401038412"</f>
        <v>34892021110310401038412</v>
      </c>
      <c r="B580" s="3" t="s">
        <v>428</v>
      </c>
      <c r="C580" s="3" t="str">
        <f>"胡亚应"</f>
        <v>胡亚应</v>
      </c>
      <c r="D580" s="3" t="s">
        <v>569</v>
      </c>
    </row>
    <row r="581" spans="1:4" ht="24.75" customHeight="1">
      <c r="A581" s="3" t="str">
        <f>"34892021110310402338415"</f>
        <v>34892021110310402338415</v>
      </c>
      <c r="B581" s="3" t="s">
        <v>428</v>
      </c>
      <c r="C581" s="3" t="str">
        <f>"郑义林"</f>
        <v>郑义林</v>
      </c>
      <c r="D581" s="3" t="s">
        <v>570</v>
      </c>
    </row>
    <row r="582" spans="1:4" ht="24.75" customHeight="1">
      <c r="A582" s="3" t="str">
        <f>"34892021110310402338416"</f>
        <v>34892021110310402338416</v>
      </c>
      <c r="B582" s="3" t="s">
        <v>428</v>
      </c>
      <c r="C582" s="3" t="str">
        <f>"玉龙"</f>
        <v>玉龙</v>
      </c>
      <c r="D582" s="3" t="s">
        <v>571</v>
      </c>
    </row>
    <row r="583" spans="1:4" ht="24.75" customHeight="1">
      <c r="A583" s="3" t="str">
        <f>"34892021110310422038430"</f>
        <v>34892021110310422038430</v>
      </c>
      <c r="B583" s="3" t="s">
        <v>428</v>
      </c>
      <c r="C583" s="3" t="str">
        <f>"王涛"</f>
        <v>王涛</v>
      </c>
      <c r="D583" s="3" t="s">
        <v>572</v>
      </c>
    </row>
    <row r="584" spans="1:4" ht="24.75" customHeight="1">
      <c r="A584" s="3" t="str">
        <f>"34892021110310424538436"</f>
        <v>34892021110310424538436</v>
      </c>
      <c r="B584" s="3" t="s">
        <v>428</v>
      </c>
      <c r="C584" s="3" t="str">
        <f>"黄文超"</f>
        <v>黄文超</v>
      </c>
      <c r="D584" s="3" t="s">
        <v>573</v>
      </c>
    </row>
    <row r="585" spans="1:4" ht="24.75" customHeight="1">
      <c r="A585" s="3" t="str">
        <f>"34892021110310425338437"</f>
        <v>34892021110310425338437</v>
      </c>
      <c r="B585" s="3" t="s">
        <v>428</v>
      </c>
      <c r="C585" s="3" t="str">
        <f>"文雯"</f>
        <v>文雯</v>
      </c>
      <c r="D585" s="3" t="s">
        <v>574</v>
      </c>
    </row>
    <row r="586" spans="1:4" ht="24.75" customHeight="1">
      <c r="A586" s="3" t="str">
        <f>"34892021110310425538438"</f>
        <v>34892021110310425538438</v>
      </c>
      <c r="B586" s="3" t="s">
        <v>428</v>
      </c>
      <c r="C586" s="3" t="str">
        <f>"王直帆"</f>
        <v>王直帆</v>
      </c>
      <c r="D586" s="3" t="s">
        <v>575</v>
      </c>
    </row>
    <row r="587" spans="1:4" ht="24.75" customHeight="1">
      <c r="A587" s="3" t="str">
        <f>"34892021110310425738439"</f>
        <v>34892021110310425738439</v>
      </c>
      <c r="B587" s="3" t="s">
        <v>428</v>
      </c>
      <c r="C587" s="3" t="str">
        <f>"王世闳"</f>
        <v>王世闳</v>
      </c>
      <c r="D587" s="3" t="s">
        <v>576</v>
      </c>
    </row>
    <row r="588" spans="1:4" ht="24.75" customHeight="1">
      <c r="A588" s="3" t="str">
        <f>"34892021110310430138440"</f>
        <v>34892021110310430138440</v>
      </c>
      <c r="B588" s="3" t="s">
        <v>428</v>
      </c>
      <c r="C588" s="3" t="str">
        <f>"廖峻"</f>
        <v>廖峻</v>
      </c>
      <c r="D588" s="3" t="s">
        <v>577</v>
      </c>
    </row>
    <row r="589" spans="1:4" ht="24.75" customHeight="1">
      <c r="A589" s="3" t="str">
        <f>"34892021110310431338444"</f>
        <v>34892021110310431338444</v>
      </c>
      <c r="B589" s="3" t="s">
        <v>428</v>
      </c>
      <c r="C589" s="3" t="str">
        <f>"陈秋凤"</f>
        <v>陈秋凤</v>
      </c>
      <c r="D589" s="3" t="s">
        <v>578</v>
      </c>
    </row>
    <row r="590" spans="1:4" ht="24.75" customHeight="1">
      <c r="A590" s="3" t="str">
        <f>"34892021110310432938445"</f>
        <v>34892021110310432938445</v>
      </c>
      <c r="B590" s="3" t="s">
        <v>428</v>
      </c>
      <c r="C590" s="3" t="str">
        <f>"陈永宾"</f>
        <v>陈永宾</v>
      </c>
      <c r="D590" s="3" t="s">
        <v>579</v>
      </c>
    </row>
    <row r="591" spans="1:4" ht="24.75" customHeight="1">
      <c r="A591" s="3" t="str">
        <f>"34892021110310433138447"</f>
        <v>34892021110310433138447</v>
      </c>
      <c r="B591" s="3" t="s">
        <v>428</v>
      </c>
      <c r="C591" s="3" t="str">
        <f>"罗才福"</f>
        <v>罗才福</v>
      </c>
      <c r="D591" s="3" t="s">
        <v>580</v>
      </c>
    </row>
    <row r="592" spans="1:4" ht="24.75" customHeight="1">
      <c r="A592" s="3" t="str">
        <f>"34892021110310444838459"</f>
        <v>34892021110310444838459</v>
      </c>
      <c r="B592" s="3" t="s">
        <v>428</v>
      </c>
      <c r="C592" s="3" t="str">
        <f>"陈雪婷"</f>
        <v>陈雪婷</v>
      </c>
      <c r="D592" s="3" t="s">
        <v>581</v>
      </c>
    </row>
    <row r="593" spans="1:4" ht="24.75" customHeight="1">
      <c r="A593" s="3" t="str">
        <f>"34892021110310465138475"</f>
        <v>34892021110310465138475</v>
      </c>
      <c r="B593" s="3" t="s">
        <v>428</v>
      </c>
      <c r="C593" s="3" t="str">
        <f>"梁崇沧"</f>
        <v>梁崇沧</v>
      </c>
      <c r="D593" s="3" t="s">
        <v>582</v>
      </c>
    </row>
    <row r="594" spans="1:4" ht="24.75" customHeight="1">
      <c r="A594" s="3" t="str">
        <f>"34892021110310470938477"</f>
        <v>34892021110310470938477</v>
      </c>
      <c r="B594" s="3" t="s">
        <v>428</v>
      </c>
      <c r="C594" s="3" t="str">
        <f>"郑礼昊"</f>
        <v>郑礼昊</v>
      </c>
      <c r="D594" s="3" t="s">
        <v>583</v>
      </c>
    </row>
    <row r="595" spans="1:4" ht="24.75" customHeight="1">
      <c r="A595" s="3" t="str">
        <f>"34892021110310472438479"</f>
        <v>34892021110310472438479</v>
      </c>
      <c r="B595" s="3" t="s">
        <v>428</v>
      </c>
      <c r="C595" s="3" t="str">
        <f>"李艳"</f>
        <v>李艳</v>
      </c>
      <c r="D595" s="3" t="s">
        <v>584</v>
      </c>
    </row>
    <row r="596" spans="1:4" ht="24.75" customHeight="1">
      <c r="A596" s="3" t="str">
        <f>"34892021110310472538480"</f>
        <v>34892021110310472538480</v>
      </c>
      <c r="B596" s="3" t="s">
        <v>428</v>
      </c>
      <c r="C596" s="3" t="str">
        <f>"陈堂兵"</f>
        <v>陈堂兵</v>
      </c>
      <c r="D596" s="3" t="s">
        <v>585</v>
      </c>
    </row>
    <row r="597" spans="1:4" ht="24.75" customHeight="1">
      <c r="A597" s="3" t="str">
        <f>"34892021110310483338492"</f>
        <v>34892021110310483338492</v>
      </c>
      <c r="B597" s="3" t="s">
        <v>428</v>
      </c>
      <c r="C597" s="3" t="str">
        <f>"吴达显"</f>
        <v>吴达显</v>
      </c>
      <c r="D597" s="3" t="s">
        <v>268</v>
      </c>
    </row>
    <row r="598" spans="1:4" ht="24.75" customHeight="1">
      <c r="A598" s="3" t="str">
        <f>"34892021110310494638507"</f>
        <v>34892021110310494638507</v>
      </c>
      <c r="B598" s="3" t="s">
        <v>428</v>
      </c>
      <c r="C598" s="3" t="str">
        <f>"石梦"</f>
        <v>石梦</v>
      </c>
      <c r="D598" s="3" t="s">
        <v>586</v>
      </c>
    </row>
    <row r="599" spans="1:4" ht="24.75" customHeight="1">
      <c r="A599" s="3" t="str">
        <f>"34892021110310510138516"</f>
        <v>34892021110310510138516</v>
      </c>
      <c r="B599" s="3" t="s">
        <v>428</v>
      </c>
      <c r="C599" s="3" t="str">
        <f>"陈小燕"</f>
        <v>陈小燕</v>
      </c>
      <c r="D599" s="3" t="s">
        <v>587</v>
      </c>
    </row>
    <row r="600" spans="1:4" ht="24.75" customHeight="1">
      <c r="A600" s="3" t="str">
        <f>"34892021110310515138520"</f>
        <v>34892021110310515138520</v>
      </c>
      <c r="B600" s="3" t="s">
        <v>428</v>
      </c>
      <c r="C600" s="3" t="str">
        <f>"胡小花"</f>
        <v>胡小花</v>
      </c>
      <c r="D600" s="3" t="s">
        <v>588</v>
      </c>
    </row>
    <row r="601" spans="1:4" ht="24.75" customHeight="1">
      <c r="A601" s="3" t="str">
        <f>"34892021110310522138524"</f>
        <v>34892021110310522138524</v>
      </c>
      <c r="B601" s="3" t="s">
        <v>428</v>
      </c>
      <c r="C601" s="3" t="str">
        <f>"谢晋娟"</f>
        <v>谢晋娟</v>
      </c>
      <c r="D601" s="3" t="s">
        <v>589</v>
      </c>
    </row>
    <row r="602" spans="1:4" ht="24.75" customHeight="1">
      <c r="A602" s="3" t="str">
        <f>"34892021110310524238527"</f>
        <v>34892021110310524238527</v>
      </c>
      <c r="B602" s="3" t="s">
        <v>428</v>
      </c>
      <c r="C602" s="3" t="str">
        <f>"王娇"</f>
        <v>王娇</v>
      </c>
      <c r="D602" s="3" t="s">
        <v>590</v>
      </c>
    </row>
    <row r="603" spans="1:4" ht="24.75" customHeight="1">
      <c r="A603" s="3" t="str">
        <f>"34892021110310533238535"</f>
        <v>34892021110310533238535</v>
      </c>
      <c r="B603" s="3" t="s">
        <v>428</v>
      </c>
      <c r="C603" s="3" t="str">
        <f>"谢於宙"</f>
        <v>谢於宙</v>
      </c>
      <c r="D603" s="3" t="s">
        <v>591</v>
      </c>
    </row>
    <row r="604" spans="1:4" ht="24.75" customHeight="1">
      <c r="A604" s="3" t="str">
        <f>"34892021110310535038540"</f>
        <v>34892021110310535038540</v>
      </c>
      <c r="B604" s="3" t="s">
        <v>428</v>
      </c>
      <c r="C604" s="3" t="str">
        <f>"黄贻红"</f>
        <v>黄贻红</v>
      </c>
      <c r="D604" s="3" t="s">
        <v>592</v>
      </c>
    </row>
    <row r="605" spans="1:4" ht="24.75" customHeight="1">
      <c r="A605" s="3" t="str">
        <f>"34892021110310542938548"</f>
        <v>34892021110310542938548</v>
      </c>
      <c r="B605" s="3" t="s">
        <v>428</v>
      </c>
      <c r="C605" s="3" t="str">
        <f>"张曼"</f>
        <v>张曼</v>
      </c>
      <c r="D605" s="3" t="s">
        <v>593</v>
      </c>
    </row>
    <row r="606" spans="1:4" ht="24.75" customHeight="1">
      <c r="A606" s="3" t="str">
        <f>"34892021110310544538549"</f>
        <v>34892021110310544538549</v>
      </c>
      <c r="B606" s="3" t="s">
        <v>428</v>
      </c>
      <c r="C606" s="3" t="str">
        <f>"符诗嫣"</f>
        <v>符诗嫣</v>
      </c>
      <c r="D606" s="3" t="s">
        <v>411</v>
      </c>
    </row>
    <row r="607" spans="1:4" ht="24.75" customHeight="1">
      <c r="A607" s="3" t="str">
        <f>"34892021110310551538554"</f>
        <v>34892021110310551538554</v>
      </c>
      <c r="B607" s="3" t="s">
        <v>428</v>
      </c>
      <c r="C607" s="3" t="str">
        <f>"陈慧"</f>
        <v>陈慧</v>
      </c>
      <c r="D607" s="3" t="s">
        <v>594</v>
      </c>
    </row>
    <row r="608" spans="1:4" ht="24.75" customHeight="1">
      <c r="A608" s="3" t="str">
        <f>"34892021110310555738557"</f>
        <v>34892021110310555738557</v>
      </c>
      <c r="B608" s="3" t="s">
        <v>428</v>
      </c>
      <c r="C608" s="3" t="str">
        <f>"郑鹏"</f>
        <v>郑鹏</v>
      </c>
      <c r="D608" s="3" t="s">
        <v>595</v>
      </c>
    </row>
    <row r="609" spans="1:4" ht="24.75" customHeight="1">
      <c r="A609" s="3" t="str">
        <f>"34892021110310563138560"</f>
        <v>34892021110310563138560</v>
      </c>
      <c r="B609" s="3" t="s">
        <v>428</v>
      </c>
      <c r="C609" s="3" t="str">
        <f>"莫镜程"</f>
        <v>莫镜程</v>
      </c>
      <c r="D609" s="3" t="s">
        <v>356</v>
      </c>
    </row>
    <row r="610" spans="1:4" ht="24.75" customHeight="1">
      <c r="A610" s="3" t="str">
        <f>"34892021110310582638570"</f>
        <v>34892021110310582638570</v>
      </c>
      <c r="B610" s="3" t="s">
        <v>428</v>
      </c>
      <c r="C610" s="3" t="str">
        <f>"吴海梅"</f>
        <v>吴海梅</v>
      </c>
      <c r="D610" s="3" t="s">
        <v>596</v>
      </c>
    </row>
    <row r="611" spans="1:4" ht="24.75" customHeight="1">
      <c r="A611" s="3" t="str">
        <f>"34892021110310582938572"</f>
        <v>34892021110310582938572</v>
      </c>
      <c r="B611" s="3" t="s">
        <v>428</v>
      </c>
      <c r="C611" s="3" t="str">
        <f>"陈桂芳"</f>
        <v>陈桂芳</v>
      </c>
      <c r="D611" s="3" t="s">
        <v>597</v>
      </c>
    </row>
    <row r="612" spans="1:4" ht="24.75" customHeight="1">
      <c r="A612" s="3" t="str">
        <f>"34892021110310583438575"</f>
        <v>34892021110310583438575</v>
      </c>
      <c r="B612" s="3" t="s">
        <v>428</v>
      </c>
      <c r="C612" s="3" t="str">
        <f>"黄梦妮"</f>
        <v>黄梦妮</v>
      </c>
      <c r="D612" s="3" t="s">
        <v>598</v>
      </c>
    </row>
    <row r="613" spans="1:4" ht="24.75" customHeight="1">
      <c r="A613" s="3" t="str">
        <f>"34892021110310595138585"</f>
        <v>34892021110310595138585</v>
      </c>
      <c r="B613" s="3" t="s">
        <v>428</v>
      </c>
      <c r="C613" s="3" t="str">
        <f>"李振强"</f>
        <v>李振强</v>
      </c>
      <c r="D613" s="3" t="s">
        <v>599</v>
      </c>
    </row>
    <row r="614" spans="1:4" ht="24.75" customHeight="1">
      <c r="A614" s="3" t="str">
        <f>"34892021110311010438597"</f>
        <v>34892021110311010438597</v>
      </c>
      <c r="B614" s="3" t="s">
        <v>428</v>
      </c>
      <c r="C614" s="3" t="str">
        <f>"王源"</f>
        <v>王源</v>
      </c>
      <c r="D614" s="3" t="s">
        <v>600</v>
      </c>
    </row>
    <row r="615" spans="1:4" ht="24.75" customHeight="1">
      <c r="A615" s="3" t="str">
        <f>"34892021110311032338614"</f>
        <v>34892021110311032338614</v>
      </c>
      <c r="B615" s="3" t="s">
        <v>428</v>
      </c>
      <c r="C615" s="3" t="str">
        <f>"曾小敏"</f>
        <v>曾小敏</v>
      </c>
      <c r="D615" s="3" t="s">
        <v>601</v>
      </c>
    </row>
    <row r="616" spans="1:4" ht="24.75" customHeight="1">
      <c r="A616" s="3" t="str">
        <f>"34892021110311034038618"</f>
        <v>34892021110311034038618</v>
      </c>
      <c r="B616" s="3" t="s">
        <v>428</v>
      </c>
      <c r="C616" s="3" t="str">
        <f>"周瑞娜"</f>
        <v>周瑞娜</v>
      </c>
      <c r="D616" s="3" t="s">
        <v>602</v>
      </c>
    </row>
    <row r="617" spans="1:4" ht="24.75" customHeight="1">
      <c r="A617" s="3" t="str">
        <f>"34892021110311044738625"</f>
        <v>34892021110311044738625</v>
      </c>
      <c r="B617" s="3" t="s">
        <v>428</v>
      </c>
      <c r="C617" s="3" t="str">
        <f>"谢雨潇"</f>
        <v>谢雨潇</v>
      </c>
      <c r="D617" s="3" t="s">
        <v>603</v>
      </c>
    </row>
    <row r="618" spans="1:4" ht="24.75" customHeight="1">
      <c r="A618" s="3" t="str">
        <f>"34892021110311044838626"</f>
        <v>34892021110311044838626</v>
      </c>
      <c r="B618" s="3" t="s">
        <v>428</v>
      </c>
      <c r="C618" s="3" t="str">
        <f>"陈锦丽"</f>
        <v>陈锦丽</v>
      </c>
      <c r="D618" s="3" t="s">
        <v>604</v>
      </c>
    </row>
    <row r="619" spans="1:4" ht="24.75" customHeight="1">
      <c r="A619" s="3" t="str">
        <f>"34892021110311045838628"</f>
        <v>34892021110311045838628</v>
      </c>
      <c r="B619" s="3" t="s">
        <v>428</v>
      </c>
      <c r="C619" s="3" t="str">
        <f>"陈强"</f>
        <v>陈强</v>
      </c>
      <c r="D619" s="3" t="s">
        <v>605</v>
      </c>
    </row>
    <row r="620" spans="1:4" ht="24.75" customHeight="1">
      <c r="A620" s="3" t="str">
        <f>"34892021110311054338632"</f>
        <v>34892021110311054338632</v>
      </c>
      <c r="B620" s="3" t="s">
        <v>428</v>
      </c>
      <c r="C620" s="3" t="str">
        <f>"黄冠武"</f>
        <v>黄冠武</v>
      </c>
      <c r="D620" s="3" t="s">
        <v>606</v>
      </c>
    </row>
    <row r="621" spans="1:4" ht="24.75" customHeight="1">
      <c r="A621" s="3" t="str">
        <f>"34892021110311071938645"</f>
        <v>34892021110311071938645</v>
      </c>
      <c r="B621" s="3" t="s">
        <v>428</v>
      </c>
      <c r="C621" s="3" t="str">
        <f>"杨妃"</f>
        <v>杨妃</v>
      </c>
      <c r="D621" s="3" t="s">
        <v>607</v>
      </c>
    </row>
    <row r="622" spans="1:4" ht="24.75" customHeight="1">
      <c r="A622" s="3" t="str">
        <f>"34892021110311084438652"</f>
        <v>34892021110311084438652</v>
      </c>
      <c r="B622" s="3" t="s">
        <v>428</v>
      </c>
      <c r="C622" s="3" t="str">
        <f>"郑小怡"</f>
        <v>郑小怡</v>
      </c>
      <c r="D622" s="3" t="s">
        <v>608</v>
      </c>
    </row>
    <row r="623" spans="1:4" ht="24.75" customHeight="1">
      <c r="A623" s="3" t="str">
        <f>"34892021110311090238653"</f>
        <v>34892021110311090238653</v>
      </c>
      <c r="B623" s="3" t="s">
        <v>428</v>
      </c>
      <c r="C623" s="3" t="str">
        <f>"朱秀梅"</f>
        <v>朱秀梅</v>
      </c>
      <c r="D623" s="3" t="s">
        <v>609</v>
      </c>
    </row>
    <row r="624" spans="1:4" ht="24.75" customHeight="1">
      <c r="A624" s="3" t="str">
        <f>"34892021110311094238658"</f>
        <v>34892021110311094238658</v>
      </c>
      <c r="B624" s="3" t="s">
        <v>428</v>
      </c>
      <c r="C624" s="3" t="str">
        <f>"吴明峰"</f>
        <v>吴明峰</v>
      </c>
      <c r="D624" s="3" t="s">
        <v>106</v>
      </c>
    </row>
    <row r="625" spans="1:4" ht="24.75" customHeight="1">
      <c r="A625" s="3" t="str">
        <f>"34892021110311101238663"</f>
        <v>34892021110311101238663</v>
      </c>
      <c r="B625" s="3" t="s">
        <v>428</v>
      </c>
      <c r="C625" s="3" t="str">
        <f>"陈芬"</f>
        <v>陈芬</v>
      </c>
      <c r="D625" s="3" t="s">
        <v>610</v>
      </c>
    </row>
    <row r="626" spans="1:4" ht="24.75" customHeight="1">
      <c r="A626" s="3" t="str">
        <f>"34892021110311104438668"</f>
        <v>34892021110311104438668</v>
      </c>
      <c r="B626" s="3" t="s">
        <v>428</v>
      </c>
      <c r="C626" s="3" t="str">
        <f>"孙晓宇"</f>
        <v>孙晓宇</v>
      </c>
      <c r="D626" s="3" t="s">
        <v>611</v>
      </c>
    </row>
    <row r="627" spans="1:4" ht="24.75" customHeight="1">
      <c r="A627" s="3" t="str">
        <f>"34892021110311104738670"</f>
        <v>34892021110311104738670</v>
      </c>
      <c r="B627" s="3" t="s">
        <v>428</v>
      </c>
      <c r="C627" s="3" t="str">
        <f>"谭子璇"</f>
        <v>谭子璇</v>
      </c>
      <c r="D627" s="3" t="s">
        <v>612</v>
      </c>
    </row>
    <row r="628" spans="1:4" ht="24.75" customHeight="1">
      <c r="A628" s="3" t="str">
        <f>"34892021110311120238680"</f>
        <v>34892021110311120238680</v>
      </c>
      <c r="B628" s="3" t="s">
        <v>428</v>
      </c>
      <c r="C628" s="3" t="str">
        <f>"吴清华"</f>
        <v>吴清华</v>
      </c>
      <c r="D628" s="3" t="s">
        <v>613</v>
      </c>
    </row>
    <row r="629" spans="1:4" ht="24.75" customHeight="1">
      <c r="A629" s="3" t="str">
        <f>"34892021110311124738685"</f>
        <v>34892021110311124738685</v>
      </c>
      <c r="B629" s="3" t="s">
        <v>428</v>
      </c>
      <c r="C629" s="3" t="str">
        <f>"张松"</f>
        <v>张松</v>
      </c>
      <c r="D629" s="3" t="s">
        <v>614</v>
      </c>
    </row>
    <row r="630" spans="1:4" ht="24.75" customHeight="1">
      <c r="A630" s="3" t="str">
        <f>"34892021110311143938696"</f>
        <v>34892021110311143938696</v>
      </c>
      <c r="B630" s="3" t="s">
        <v>428</v>
      </c>
      <c r="C630" s="3" t="str">
        <f>"欧娇娜"</f>
        <v>欧娇娜</v>
      </c>
      <c r="D630" s="3" t="s">
        <v>615</v>
      </c>
    </row>
    <row r="631" spans="1:4" ht="24.75" customHeight="1">
      <c r="A631" s="3" t="str">
        <f>"34892021110311151438700"</f>
        <v>34892021110311151438700</v>
      </c>
      <c r="B631" s="3" t="s">
        <v>428</v>
      </c>
      <c r="C631" s="3" t="str">
        <f>"林彦橙"</f>
        <v>林彦橙</v>
      </c>
      <c r="D631" s="3" t="s">
        <v>616</v>
      </c>
    </row>
    <row r="632" spans="1:4" ht="24.75" customHeight="1">
      <c r="A632" s="3" t="str">
        <f>"34892021110311152038701"</f>
        <v>34892021110311152038701</v>
      </c>
      <c r="B632" s="3" t="s">
        <v>428</v>
      </c>
      <c r="C632" s="3" t="str">
        <f>"廖宝雄"</f>
        <v>廖宝雄</v>
      </c>
      <c r="D632" s="3" t="s">
        <v>617</v>
      </c>
    </row>
    <row r="633" spans="1:4" ht="24.75" customHeight="1">
      <c r="A633" s="3" t="str">
        <f>"34892021110311160638705"</f>
        <v>34892021110311160638705</v>
      </c>
      <c r="B633" s="3" t="s">
        <v>428</v>
      </c>
      <c r="C633" s="3" t="str">
        <f>"吴月杏"</f>
        <v>吴月杏</v>
      </c>
      <c r="D633" s="3" t="s">
        <v>618</v>
      </c>
    </row>
    <row r="634" spans="1:4" ht="24.75" customHeight="1">
      <c r="A634" s="3" t="str">
        <f>"34892021110311161738706"</f>
        <v>34892021110311161738706</v>
      </c>
      <c r="B634" s="3" t="s">
        <v>428</v>
      </c>
      <c r="C634" s="3" t="str">
        <f>"许春南"</f>
        <v>许春南</v>
      </c>
      <c r="D634" s="3" t="s">
        <v>619</v>
      </c>
    </row>
    <row r="635" spans="1:4" ht="24.75" customHeight="1">
      <c r="A635" s="3" t="str">
        <f>"34892021110311184538722"</f>
        <v>34892021110311184538722</v>
      </c>
      <c r="B635" s="3" t="s">
        <v>428</v>
      </c>
      <c r="C635" s="3" t="str">
        <f>"叶艳倍"</f>
        <v>叶艳倍</v>
      </c>
      <c r="D635" s="3" t="s">
        <v>620</v>
      </c>
    </row>
    <row r="636" spans="1:4" ht="24.75" customHeight="1">
      <c r="A636" s="3" t="str">
        <f>"34892021110311212138736"</f>
        <v>34892021110311212138736</v>
      </c>
      <c r="B636" s="3" t="s">
        <v>428</v>
      </c>
      <c r="C636" s="3" t="str">
        <f>"钟玮君"</f>
        <v>钟玮君</v>
      </c>
      <c r="D636" s="3" t="s">
        <v>540</v>
      </c>
    </row>
    <row r="637" spans="1:4" ht="24.75" customHeight="1">
      <c r="A637" s="3" t="str">
        <f>"34892021110311224838747"</f>
        <v>34892021110311224838747</v>
      </c>
      <c r="B637" s="3" t="s">
        <v>428</v>
      </c>
      <c r="C637" s="3" t="str">
        <f>"符万菊"</f>
        <v>符万菊</v>
      </c>
      <c r="D637" s="3" t="s">
        <v>621</v>
      </c>
    </row>
    <row r="638" spans="1:4" ht="24.75" customHeight="1">
      <c r="A638" s="3" t="str">
        <f>"34892021110311232238754"</f>
        <v>34892021110311232238754</v>
      </c>
      <c r="B638" s="3" t="s">
        <v>428</v>
      </c>
      <c r="C638" s="3" t="str">
        <f>"何金菊"</f>
        <v>何金菊</v>
      </c>
      <c r="D638" s="3" t="s">
        <v>622</v>
      </c>
    </row>
    <row r="639" spans="1:4" ht="24.75" customHeight="1">
      <c r="A639" s="3" t="str">
        <f>"34892021110311233438756"</f>
        <v>34892021110311233438756</v>
      </c>
      <c r="B639" s="3" t="s">
        <v>428</v>
      </c>
      <c r="C639" s="3" t="str">
        <f>"邓昭君"</f>
        <v>邓昭君</v>
      </c>
      <c r="D639" s="3" t="s">
        <v>623</v>
      </c>
    </row>
    <row r="640" spans="1:4" ht="24.75" customHeight="1">
      <c r="A640" s="3" t="str">
        <f>"34892021110311234338759"</f>
        <v>34892021110311234338759</v>
      </c>
      <c r="B640" s="3" t="s">
        <v>428</v>
      </c>
      <c r="C640" s="3" t="str">
        <f>"王彬"</f>
        <v>王彬</v>
      </c>
      <c r="D640" s="3" t="s">
        <v>624</v>
      </c>
    </row>
    <row r="641" spans="1:4" ht="24.75" customHeight="1">
      <c r="A641" s="3" t="str">
        <f>"34892021110311234538760"</f>
        <v>34892021110311234538760</v>
      </c>
      <c r="B641" s="3" t="s">
        <v>428</v>
      </c>
      <c r="C641" s="3" t="str">
        <f>"王晶"</f>
        <v>王晶</v>
      </c>
      <c r="D641" s="3" t="s">
        <v>625</v>
      </c>
    </row>
    <row r="642" spans="1:4" ht="24.75" customHeight="1">
      <c r="A642" s="3" t="str">
        <f>"34892021110311240938765"</f>
        <v>34892021110311240938765</v>
      </c>
      <c r="B642" s="3" t="s">
        <v>428</v>
      </c>
      <c r="C642" s="3" t="str">
        <f>"沈其国"</f>
        <v>沈其国</v>
      </c>
      <c r="D642" s="3" t="s">
        <v>626</v>
      </c>
    </row>
    <row r="643" spans="1:4" ht="24.75" customHeight="1">
      <c r="A643" s="3" t="str">
        <f>"34892021110311243038767"</f>
        <v>34892021110311243038767</v>
      </c>
      <c r="B643" s="3" t="s">
        <v>428</v>
      </c>
      <c r="C643" s="3" t="str">
        <f>"罗亚菊"</f>
        <v>罗亚菊</v>
      </c>
      <c r="D643" s="3" t="s">
        <v>627</v>
      </c>
    </row>
    <row r="644" spans="1:4" ht="24.75" customHeight="1">
      <c r="A644" s="3" t="str">
        <f>"34892021110311251938773"</f>
        <v>34892021110311251938773</v>
      </c>
      <c r="B644" s="3" t="s">
        <v>428</v>
      </c>
      <c r="C644" s="3" t="str">
        <f>"黄娟"</f>
        <v>黄娟</v>
      </c>
      <c r="D644" s="3" t="s">
        <v>628</v>
      </c>
    </row>
    <row r="645" spans="1:4" ht="24.75" customHeight="1">
      <c r="A645" s="3" t="str">
        <f>"34892021110311252738775"</f>
        <v>34892021110311252738775</v>
      </c>
      <c r="B645" s="3" t="s">
        <v>428</v>
      </c>
      <c r="C645" s="3" t="str">
        <f>"陈道舒"</f>
        <v>陈道舒</v>
      </c>
      <c r="D645" s="3" t="s">
        <v>231</v>
      </c>
    </row>
    <row r="646" spans="1:4" ht="24.75" customHeight="1">
      <c r="A646" s="3" t="str">
        <f>"34892021110311253538779"</f>
        <v>34892021110311253538779</v>
      </c>
      <c r="B646" s="3" t="s">
        <v>428</v>
      </c>
      <c r="C646" s="3" t="str">
        <f>"王莉婵"</f>
        <v>王莉婵</v>
      </c>
      <c r="D646" s="3" t="s">
        <v>629</v>
      </c>
    </row>
    <row r="647" spans="1:4" ht="24.75" customHeight="1">
      <c r="A647" s="3" t="str">
        <f>"34892021110311260338781"</f>
        <v>34892021110311260338781</v>
      </c>
      <c r="B647" s="3" t="s">
        <v>428</v>
      </c>
      <c r="C647" s="3" t="str">
        <f>"冼庆帝"</f>
        <v>冼庆帝</v>
      </c>
      <c r="D647" s="3" t="s">
        <v>630</v>
      </c>
    </row>
    <row r="648" spans="1:4" ht="24.75" customHeight="1">
      <c r="A648" s="3" t="str">
        <f>"34892021110311260738783"</f>
        <v>34892021110311260738783</v>
      </c>
      <c r="B648" s="3" t="s">
        <v>428</v>
      </c>
      <c r="C648" s="3" t="str">
        <f>"梁晓春"</f>
        <v>梁晓春</v>
      </c>
      <c r="D648" s="3" t="s">
        <v>631</v>
      </c>
    </row>
    <row r="649" spans="1:4" ht="24.75" customHeight="1">
      <c r="A649" s="3" t="str">
        <f>"34892021110311261138784"</f>
        <v>34892021110311261138784</v>
      </c>
      <c r="B649" s="3" t="s">
        <v>428</v>
      </c>
      <c r="C649" s="3" t="str">
        <f>"吴小娜"</f>
        <v>吴小娜</v>
      </c>
      <c r="D649" s="3" t="s">
        <v>632</v>
      </c>
    </row>
    <row r="650" spans="1:4" ht="24.75" customHeight="1">
      <c r="A650" s="3" t="str">
        <f>"34892021110311263538786"</f>
        <v>34892021110311263538786</v>
      </c>
      <c r="B650" s="3" t="s">
        <v>428</v>
      </c>
      <c r="C650" s="3" t="str">
        <f>"陈益晟"</f>
        <v>陈益晟</v>
      </c>
      <c r="D650" s="3" t="s">
        <v>633</v>
      </c>
    </row>
    <row r="651" spans="1:4" ht="24.75" customHeight="1">
      <c r="A651" s="3" t="str">
        <f>"34892021110311271938790"</f>
        <v>34892021110311271938790</v>
      </c>
      <c r="B651" s="3" t="s">
        <v>428</v>
      </c>
      <c r="C651" s="3" t="str">
        <f>"毛章民"</f>
        <v>毛章民</v>
      </c>
      <c r="D651" s="3" t="s">
        <v>634</v>
      </c>
    </row>
    <row r="652" spans="1:4" ht="24.75" customHeight="1">
      <c r="A652" s="3" t="str">
        <f>"34892021110311292538801"</f>
        <v>34892021110311292538801</v>
      </c>
      <c r="B652" s="3" t="s">
        <v>428</v>
      </c>
      <c r="C652" s="3" t="str">
        <f>"王咸弟"</f>
        <v>王咸弟</v>
      </c>
      <c r="D652" s="3" t="s">
        <v>635</v>
      </c>
    </row>
    <row r="653" spans="1:4" ht="24.75" customHeight="1">
      <c r="A653" s="3" t="str">
        <f>"34892021110311295438806"</f>
        <v>34892021110311295438806</v>
      </c>
      <c r="B653" s="3" t="s">
        <v>428</v>
      </c>
      <c r="C653" s="3" t="str">
        <f>"陈明"</f>
        <v>陈明</v>
      </c>
      <c r="D653" s="3" t="s">
        <v>636</v>
      </c>
    </row>
    <row r="654" spans="1:4" ht="24.75" customHeight="1">
      <c r="A654" s="3" t="str">
        <f>"34892021110311304138809"</f>
        <v>34892021110311304138809</v>
      </c>
      <c r="B654" s="3" t="s">
        <v>428</v>
      </c>
      <c r="C654" s="3" t="str">
        <f>"陈嘉康"</f>
        <v>陈嘉康</v>
      </c>
      <c r="D654" s="3" t="s">
        <v>637</v>
      </c>
    </row>
    <row r="655" spans="1:4" ht="24.75" customHeight="1">
      <c r="A655" s="3" t="str">
        <f>"34892021110311310138815"</f>
        <v>34892021110311310138815</v>
      </c>
      <c r="B655" s="3" t="s">
        <v>428</v>
      </c>
      <c r="C655" s="3" t="str">
        <f>"唐春花"</f>
        <v>唐春花</v>
      </c>
      <c r="D655" s="3" t="s">
        <v>638</v>
      </c>
    </row>
    <row r="656" spans="1:4" ht="24.75" customHeight="1">
      <c r="A656" s="3" t="str">
        <f>"34892021110311312738819"</f>
        <v>34892021110311312738819</v>
      </c>
      <c r="B656" s="3" t="s">
        <v>428</v>
      </c>
      <c r="C656" s="3" t="str">
        <f>"朱荣"</f>
        <v>朱荣</v>
      </c>
      <c r="D656" s="3" t="s">
        <v>618</v>
      </c>
    </row>
    <row r="657" spans="1:4" ht="24.75" customHeight="1">
      <c r="A657" s="3" t="str">
        <f>"34892021110311334438834"</f>
        <v>34892021110311334438834</v>
      </c>
      <c r="B657" s="3" t="s">
        <v>428</v>
      </c>
      <c r="C657" s="3" t="str">
        <f>"程范辉"</f>
        <v>程范辉</v>
      </c>
      <c r="D657" s="3" t="s">
        <v>639</v>
      </c>
    </row>
    <row r="658" spans="1:4" ht="24.75" customHeight="1">
      <c r="A658" s="3" t="str">
        <f>"34892021110311352338845"</f>
        <v>34892021110311352338845</v>
      </c>
      <c r="B658" s="3" t="s">
        <v>428</v>
      </c>
      <c r="C658" s="3" t="str">
        <f>"陈香"</f>
        <v>陈香</v>
      </c>
      <c r="D658" s="3" t="s">
        <v>640</v>
      </c>
    </row>
    <row r="659" spans="1:4" ht="24.75" customHeight="1">
      <c r="A659" s="3" t="str">
        <f>"34892021110311361338852"</f>
        <v>34892021110311361338852</v>
      </c>
      <c r="B659" s="3" t="s">
        <v>428</v>
      </c>
      <c r="C659" s="3" t="str">
        <f>"何传辉"</f>
        <v>何传辉</v>
      </c>
      <c r="D659" s="3" t="s">
        <v>641</v>
      </c>
    </row>
    <row r="660" spans="1:4" ht="24.75" customHeight="1">
      <c r="A660" s="3" t="str">
        <f>"34892021110311361538854"</f>
        <v>34892021110311361538854</v>
      </c>
      <c r="B660" s="3" t="s">
        <v>428</v>
      </c>
      <c r="C660" s="3" t="str">
        <f>"严冬"</f>
        <v>严冬</v>
      </c>
      <c r="D660" s="3" t="s">
        <v>642</v>
      </c>
    </row>
    <row r="661" spans="1:4" ht="24.75" customHeight="1">
      <c r="A661" s="3" t="str">
        <f>"34892021110311373738862"</f>
        <v>34892021110311373738862</v>
      </c>
      <c r="B661" s="3" t="s">
        <v>428</v>
      </c>
      <c r="C661" s="3" t="str">
        <f>"李翼达"</f>
        <v>李翼达</v>
      </c>
      <c r="D661" s="3" t="s">
        <v>643</v>
      </c>
    </row>
    <row r="662" spans="1:4" ht="24.75" customHeight="1">
      <c r="A662" s="3" t="str">
        <f>"34892021110311374638864"</f>
        <v>34892021110311374638864</v>
      </c>
      <c r="B662" s="3" t="s">
        <v>428</v>
      </c>
      <c r="C662" s="3" t="str">
        <f>"袁森威"</f>
        <v>袁森威</v>
      </c>
      <c r="D662" s="3" t="s">
        <v>644</v>
      </c>
    </row>
    <row r="663" spans="1:4" ht="24.75" customHeight="1">
      <c r="A663" s="3" t="str">
        <f>"34892021110311380438866"</f>
        <v>34892021110311380438866</v>
      </c>
      <c r="B663" s="3" t="s">
        <v>428</v>
      </c>
      <c r="C663" s="3" t="str">
        <f>"许茗茸"</f>
        <v>许茗茸</v>
      </c>
      <c r="D663" s="3" t="s">
        <v>645</v>
      </c>
    </row>
    <row r="664" spans="1:4" ht="24.75" customHeight="1">
      <c r="A664" s="3" t="str">
        <f>"34892021110311385838874"</f>
        <v>34892021110311385838874</v>
      </c>
      <c r="B664" s="3" t="s">
        <v>428</v>
      </c>
      <c r="C664" s="3" t="str">
        <f>"王雪丹"</f>
        <v>王雪丹</v>
      </c>
      <c r="D664" s="3" t="s">
        <v>646</v>
      </c>
    </row>
    <row r="665" spans="1:4" ht="24.75" customHeight="1">
      <c r="A665" s="3" t="str">
        <f>"34892021110311410838896"</f>
        <v>34892021110311410838896</v>
      </c>
      <c r="B665" s="3" t="s">
        <v>428</v>
      </c>
      <c r="C665" s="3" t="str">
        <f>"王和翔"</f>
        <v>王和翔</v>
      </c>
      <c r="D665" s="3" t="s">
        <v>647</v>
      </c>
    </row>
    <row r="666" spans="1:4" ht="24.75" customHeight="1">
      <c r="A666" s="3" t="str">
        <f>"34892021110311412838900"</f>
        <v>34892021110311412838900</v>
      </c>
      <c r="B666" s="3" t="s">
        <v>428</v>
      </c>
      <c r="C666" s="3" t="str">
        <f>"邢增策"</f>
        <v>邢增策</v>
      </c>
      <c r="D666" s="3" t="s">
        <v>648</v>
      </c>
    </row>
    <row r="667" spans="1:4" ht="24.75" customHeight="1">
      <c r="A667" s="3" t="str">
        <f>"34892021110311414238902"</f>
        <v>34892021110311414238902</v>
      </c>
      <c r="B667" s="3" t="s">
        <v>428</v>
      </c>
      <c r="C667" s="3" t="str">
        <f>"李慧雯"</f>
        <v>李慧雯</v>
      </c>
      <c r="D667" s="3" t="s">
        <v>649</v>
      </c>
    </row>
    <row r="668" spans="1:4" ht="24.75" customHeight="1">
      <c r="A668" s="3" t="str">
        <f>"34892021110311423338908"</f>
        <v>34892021110311423338908</v>
      </c>
      <c r="B668" s="3" t="s">
        <v>428</v>
      </c>
      <c r="C668" s="3" t="str">
        <f>"陈婷婷"</f>
        <v>陈婷婷</v>
      </c>
      <c r="D668" s="3" t="s">
        <v>650</v>
      </c>
    </row>
    <row r="669" spans="1:4" ht="24.75" customHeight="1">
      <c r="A669" s="3" t="str">
        <f>"34892021110311440038912"</f>
        <v>34892021110311440038912</v>
      </c>
      <c r="B669" s="3" t="s">
        <v>428</v>
      </c>
      <c r="C669" s="3" t="str">
        <f>"吉舒敏"</f>
        <v>吉舒敏</v>
      </c>
      <c r="D669" s="3" t="s">
        <v>651</v>
      </c>
    </row>
    <row r="670" spans="1:4" ht="24.75" customHeight="1">
      <c r="A670" s="3" t="str">
        <f>"34892021110311452138920"</f>
        <v>34892021110311452138920</v>
      </c>
      <c r="B670" s="3" t="s">
        <v>428</v>
      </c>
      <c r="C670" s="3" t="str">
        <f>"何俊蔚"</f>
        <v>何俊蔚</v>
      </c>
      <c r="D670" s="3" t="s">
        <v>652</v>
      </c>
    </row>
    <row r="671" spans="1:4" ht="24.75" customHeight="1">
      <c r="A671" s="3" t="str">
        <f>"34892021110311454238923"</f>
        <v>34892021110311454238923</v>
      </c>
      <c r="B671" s="3" t="s">
        <v>428</v>
      </c>
      <c r="C671" s="3" t="str">
        <f>"吴奇梁"</f>
        <v>吴奇梁</v>
      </c>
      <c r="D671" s="3" t="s">
        <v>653</v>
      </c>
    </row>
    <row r="672" spans="1:4" ht="24.75" customHeight="1">
      <c r="A672" s="3" t="str">
        <f>"34892021110311473938937"</f>
        <v>34892021110311473938937</v>
      </c>
      <c r="B672" s="3" t="s">
        <v>428</v>
      </c>
      <c r="C672" s="3" t="str">
        <f>"张妹"</f>
        <v>张妹</v>
      </c>
      <c r="D672" s="3" t="s">
        <v>654</v>
      </c>
    </row>
    <row r="673" spans="1:4" ht="24.75" customHeight="1">
      <c r="A673" s="3" t="str">
        <f>"34892021110311525638970"</f>
        <v>34892021110311525638970</v>
      </c>
      <c r="B673" s="3" t="s">
        <v>428</v>
      </c>
      <c r="C673" s="3" t="str">
        <f>"薛昱"</f>
        <v>薛昱</v>
      </c>
      <c r="D673" s="3" t="s">
        <v>655</v>
      </c>
    </row>
    <row r="674" spans="1:4" ht="24.75" customHeight="1">
      <c r="A674" s="3" t="str">
        <f>"34892021110311531138972"</f>
        <v>34892021110311531138972</v>
      </c>
      <c r="B674" s="3" t="s">
        <v>428</v>
      </c>
      <c r="C674" s="3" t="str">
        <f>"祝一萱"</f>
        <v>祝一萱</v>
      </c>
      <c r="D674" s="3" t="s">
        <v>656</v>
      </c>
    </row>
    <row r="675" spans="1:4" ht="24.75" customHeight="1">
      <c r="A675" s="3" t="str">
        <f>"34892021110311535938975"</f>
        <v>34892021110311535938975</v>
      </c>
      <c r="B675" s="3" t="s">
        <v>428</v>
      </c>
      <c r="C675" s="3" t="str">
        <f>"黎桂花"</f>
        <v>黎桂花</v>
      </c>
      <c r="D675" s="3" t="s">
        <v>657</v>
      </c>
    </row>
    <row r="676" spans="1:4" ht="24.75" customHeight="1">
      <c r="A676" s="3" t="str">
        <f>"34892021110311554638981"</f>
        <v>34892021110311554638981</v>
      </c>
      <c r="B676" s="3" t="s">
        <v>428</v>
      </c>
      <c r="C676" s="3" t="str">
        <f>"羊志膺"</f>
        <v>羊志膺</v>
      </c>
      <c r="D676" s="3" t="s">
        <v>658</v>
      </c>
    </row>
    <row r="677" spans="1:4" ht="24.75" customHeight="1">
      <c r="A677" s="3" t="str">
        <f>"34892021110311554738982"</f>
        <v>34892021110311554738982</v>
      </c>
      <c r="B677" s="3" t="s">
        <v>428</v>
      </c>
      <c r="C677" s="3" t="str">
        <f>"陈培瑞"</f>
        <v>陈培瑞</v>
      </c>
      <c r="D677" s="3" t="s">
        <v>659</v>
      </c>
    </row>
    <row r="678" spans="1:4" ht="24.75" customHeight="1">
      <c r="A678" s="3" t="str">
        <f>"34892021110311572138996"</f>
        <v>34892021110311572138996</v>
      </c>
      <c r="B678" s="3" t="s">
        <v>428</v>
      </c>
      <c r="C678" s="3" t="str">
        <f>"杨壮仁"</f>
        <v>杨壮仁</v>
      </c>
      <c r="D678" s="3" t="s">
        <v>660</v>
      </c>
    </row>
    <row r="679" spans="1:4" ht="24.75" customHeight="1">
      <c r="A679" s="3" t="str">
        <f>"34892021110311583338999"</f>
        <v>34892021110311583338999</v>
      </c>
      <c r="B679" s="3" t="s">
        <v>428</v>
      </c>
      <c r="C679" s="3" t="str">
        <f>"林琨"</f>
        <v>林琨</v>
      </c>
      <c r="D679" s="3" t="s">
        <v>661</v>
      </c>
    </row>
    <row r="680" spans="1:4" ht="24.75" customHeight="1">
      <c r="A680" s="3" t="str">
        <f>"34892021110312024439018"</f>
        <v>34892021110312024439018</v>
      </c>
      <c r="B680" s="3" t="s">
        <v>428</v>
      </c>
      <c r="C680" s="3" t="str">
        <f>"陈冬丽"</f>
        <v>陈冬丽</v>
      </c>
      <c r="D680" s="3" t="s">
        <v>544</v>
      </c>
    </row>
    <row r="681" spans="1:4" ht="24.75" customHeight="1">
      <c r="A681" s="3" t="str">
        <f>"34892021110312035239025"</f>
        <v>34892021110312035239025</v>
      </c>
      <c r="B681" s="3" t="s">
        <v>428</v>
      </c>
      <c r="C681" s="3" t="str">
        <f>"周宁"</f>
        <v>周宁</v>
      </c>
      <c r="D681" s="3" t="s">
        <v>662</v>
      </c>
    </row>
    <row r="682" spans="1:4" ht="24.75" customHeight="1">
      <c r="A682" s="3" t="str">
        <f>"34892021110312041639028"</f>
        <v>34892021110312041639028</v>
      </c>
      <c r="B682" s="3" t="s">
        <v>428</v>
      </c>
      <c r="C682" s="3" t="str">
        <f>"罗雨茜"</f>
        <v>罗雨茜</v>
      </c>
      <c r="D682" s="3" t="s">
        <v>663</v>
      </c>
    </row>
    <row r="683" spans="1:4" ht="24.75" customHeight="1">
      <c r="A683" s="3" t="str">
        <f>"34892021110312042739029"</f>
        <v>34892021110312042739029</v>
      </c>
      <c r="B683" s="3" t="s">
        <v>428</v>
      </c>
      <c r="C683" s="3" t="str">
        <f>"劳晓杰"</f>
        <v>劳晓杰</v>
      </c>
      <c r="D683" s="3" t="s">
        <v>664</v>
      </c>
    </row>
    <row r="684" spans="1:4" ht="24.75" customHeight="1">
      <c r="A684" s="3" t="str">
        <f>"34892021110312055939037"</f>
        <v>34892021110312055939037</v>
      </c>
      <c r="B684" s="3" t="s">
        <v>428</v>
      </c>
      <c r="C684" s="3" t="str">
        <f>"邓力夫"</f>
        <v>邓力夫</v>
      </c>
      <c r="D684" s="3" t="s">
        <v>665</v>
      </c>
    </row>
    <row r="685" spans="1:4" ht="24.75" customHeight="1">
      <c r="A685" s="3" t="str">
        <f>"34892021110312061739039"</f>
        <v>34892021110312061739039</v>
      </c>
      <c r="B685" s="3" t="s">
        <v>428</v>
      </c>
      <c r="C685" s="3" t="str">
        <f>"林书宇"</f>
        <v>林书宇</v>
      </c>
      <c r="D685" s="3" t="s">
        <v>666</v>
      </c>
    </row>
    <row r="686" spans="1:4" ht="24.75" customHeight="1">
      <c r="A686" s="3" t="str">
        <f>"34892021110312072939047"</f>
        <v>34892021110312072939047</v>
      </c>
      <c r="B686" s="3" t="s">
        <v>428</v>
      </c>
      <c r="C686" s="3" t="str">
        <f>"林小慧"</f>
        <v>林小慧</v>
      </c>
      <c r="D686" s="3" t="s">
        <v>667</v>
      </c>
    </row>
    <row r="687" spans="1:4" ht="24.75" customHeight="1">
      <c r="A687" s="3" t="str">
        <f>"34892021110312085239060"</f>
        <v>34892021110312085239060</v>
      </c>
      <c r="B687" s="3" t="s">
        <v>428</v>
      </c>
      <c r="C687" s="3" t="str">
        <f>"曾小松"</f>
        <v>曾小松</v>
      </c>
      <c r="D687" s="3" t="s">
        <v>668</v>
      </c>
    </row>
    <row r="688" spans="1:4" ht="24.75" customHeight="1">
      <c r="A688" s="3" t="str">
        <f>"34892021110312122239072"</f>
        <v>34892021110312122239072</v>
      </c>
      <c r="B688" s="3" t="s">
        <v>428</v>
      </c>
      <c r="C688" s="3" t="str">
        <f>"吉鹏"</f>
        <v>吉鹏</v>
      </c>
      <c r="D688" s="3" t="s">
        <v>669</v>
      </c>
    </row>
    <row r="689" spans="1:4" ht="24.75" customHeight="1">
      <c r="A689" s="3" t="str">
        <f>"34892021110312134839081"</f>
        <v>34892021110312134839081</v>
      </c>
      <c r="B689" s="3" t="s">
        <v>428</v>
      </c>
      <c r="C689" s="3" t="str">
        <f>"邓晓静"</f>
        <v>邓晓静</v>
      </c>
      <c r="D689" s="3" t="s">
        <v>670</v>
      </c>
    </row>
    <row r="690" spans="1:4" ht="24.75" customHeight="1">
      <c r="A690" s="3" t="str">
        <f>"34892021110312145639088"</f>
        <v>34892021110312145639088</v>
      </c>
      <c r="B690" s="3" t="s">
        <v>428</v>
      </c>
      <c r="C690" s="3" t="str">
        <f>"陈华冬"</f>
        <v>陈华冬</v>
      </c>
      <c r="D690" s="3" t="s">
        <v>671</v>
      </c>
    </row>
    <row r="691" spans="1:4" ht="24.75" customHeight="1">
      <c r="A691" s="3" t="str">
        <f>"34892021110312194039107"</f>
        <v>34892021110312194039107</v>
      </c>
      <c r="B691" s="3" t="s">
        <v>428</v>
      </c>
      <c r="C691" s="3" t="str">
        <f>"蔡教璟"</f>
        <v>蔡教璟</v>
      </c>
      <c r="D691" s="3" t="s">
        <v>672</v>
      </c>
    </row>
    <row r="692" spans="1:4" ht="24.75" customHeight="1">
      <c r="A692" s="3" t="str">
        <f>"34892021110312194639109"</f>
        <v>34892021110312194639109</v>
      </c>
      <c r="B692" s="3" t="s">
        <v>428</v>
      </c>
      <c r="C692" s="3" t="str">
        <f>"邓炜"</f>
        <v>邓炜</v>
      </c>
      <c r="D692" s="3" t="s">
        <v>382</v>
      </c>
    </row>
    <row r="693" spans="1:4" ht="24.75" customHeight="1">
      <c r="A693" s="3" t="str">
        <f>"34892021110312201739113"</f>
        <v>34892021110312201739113</v>
      </c>
      <c r="B693" s="3" t="s">
        <v>428</v>
      </c>
      <c r="C693" s="3" t="str">
        <f>"赖泽明"</f>
        <v>赖泽明</v>
      </c>
      <c r="D693" s="3" t="s">
        <v>252</v>
      </c>
    </row>
    <row r="694" spans="1:4" ht="24.75" customHeight="1">
      <c r="A694" s="3" t="str">
        <f>"34892021110312252439144"</f>
        <v>34892021110312252439144</v>
      </c>
      <c r="B694" s="3" t="s">
        <v>428</v>
      </c>
      <c r="C694" s="3" t="str">
        <f>"林前善"</f>
        <v>林前善</v>
      </c>
      <c r="D694" s="3" t="s">
        <v>673</v>
      </c>
    </row>
    <row r="695" spans="1:4" ht="24.75" customHeight="1">
      <c r="A695" s="3" t="str">
        <f>"34892021110312292339183"</f>
        <v>34892021110312292339183</v>
      </c>
      <c r="B695" s="3" t="s">
        <v>428</v>
      </c>
      <c r="C695" s="3" t="str">
        <f>"刘德聪"</f>
        <v>刘德聪</v>
      </c>
      <c r="D695" s="3" t="s">
        <v>674</v>
      </c>
    </row>
    <row r="696" spans="1:4" ht="24.75" customHeight="1">
      <c r="A696" s="3" t="str">
        <f>"34892021110312292939186"</f>
        <v>34892021110312292939186</v>
      </c>
      <c r="B696" s="3" t="s">
        <v>428</v>
      </c>
      <c r="C696" s="3" t="str">
        <f>"夏彩云"</f>
        <v>夏彩云</v>
      </c>
      <c r="D696" s="3" t="s">
        <v>675</v>
      </c>
    </row>
    <row r="697" spans="1:4" ht="24.75" customHeight="1">
      <c r="A697" s="3" t="str">
        <f>"34892021110312345539213"</f>
        <v>34892021110312345539213</v>
      </c>
      <c r="B697" s="3" t="s">
        <v>428</v>
      </c>
      <c r="C697" s="3" t="str">
        <f>"刘鑫磊"</f>
        <v>刘鑫磊</v>
      </c>
      <c r="D697" s="3" t="s">
        <v>676</v>
      </c>
    </row>
    <row r="698" spans="1:4" ht="24.75" customHeight="1">
      <c r="A698" s="3" t="str">
        <f>"34892021110312371439229"</f>
        <v>34892021110312371439229</v>
      </c>
      <c r="B698" s="3" t="s">
        <v>428</v>
      </c>
      <c r="C698" s="3" t="str">
        <f>"王浪"</f>
        <v>王浪</v>
      </c>
      <c r="D698" s="3" t="s">
        <v>677</v>
      </c>
    </row>
    <row r="699" spans="1:4" ht="24.75" customHeight="1">
      <c r="A699" s="3" t="str">
        <f>"34892021110312400939248"</f>
        <v>34892021110312400939248</v>
      </c>
      <c r="B699" s="3" t="s">
        <v>428</v>
      </c>
      <c r="C699" s="3" t="str">
        <f>"洪瑜"</f>
        <v>洪瑜</v>
      </c>
      <c r="D699" s="3" t="s">
        <v>678</v>
      </c>
    </row>
    <row r="700" spans="1:4" ht="24.75" customHeight="1">
      <c r="A700" s="3" t="str">
        <f>"34892021110312451639271"</f>
        <v>34892021110312451639271</v>
      </c>
      <c r="B700" s="3" t="s">
        <v>428</v>
      </c>
      <c r="C700" s="3" t="str">
        <f>"陈寒婷"</f>
        <v>陈寒婷</v>
      </c>
      <c r="D700" s="3" t="s">
        <v>679</v>
      </c>
    </row>
    <row r="701" spans="1:4" ht="24.75" customHeight="1">
      <c r="A701" s="3" t="str">
        <f>"34892021110312463739286"</f>
        <v>34892021110312463739286</v>
      </c>
      <c r="B701" s="3" t="s">
        <v>428</v>
      </c>
      <c r="C701" s="3" t="str">
        <f>"王丽珍"</f>
        <v>王丽珍</v>
      </c>
      <c r="D701" s="3" t="s">
        <v>680</v>
      </c>
    </row>
    <row r="702" spans="1:4" ht="24.75" customHeight="1">
      <c r="A702" s="3" t="str">
        <f>"34892021110312482639302"</f>
        <v>34892021110312482639302</v>
      </c>
      <c r="B702" s="3" t="s">
        <v>428</v>
      </c>
      <c r="C702" s="3" t="str">
        <f>"张鑫"</f>
        <v>张鑫</v>
      </c>
      <c r="D702" s="3" t="s">
        <v>681</v>
      </c>
    </row>
    <row r="703" spans="1:4" ht="24.75" customHeight="1">
      <c r="A703" s="3" t="str">
        <f>"34892021110312501939315"</f>
        <v>34892021110312501939315</v>
      </c>
      <c r="B703" s="3" t="s">
        <v>428</v>
      </c>
      <c r="C703" s="3" t="str">
        <f>"吴小慧"</f>
        <v>吴小慧</v>
      </c>
      <c r="D703" s="3" t="s">
        <v>682</v>
      </c>
    </row>
    <row r="704" spans="1:4" ht="24.75" customHeight="1">
      <c r="A704" s="3" t="str">
        <f>"34892021110312511339319"</f>
        <v>34892021110312511339319</v>
      </c>
      <c r="B704" s="3" t="s">
        <v>428</v>
      </c>
      <c r="C704" s="3" t="str">
        <f>"吴柳"</f>
        <v>吴柳</v>
      </c>
      <c r="D704" s="3" t="s">
        <v>683</v>
      </c>
    </row>
    <row r="705" spans="1:4" ht="24.75" customHeight="1">
      <c r="A705" s="3" t="str">
        <f>"34892021110312522839325"</f>
        <v>34892021110312522839325</v>
      </c>
      <c r="B705" s="3" t="s">
        <v>428</v>
      </c>
      <c r="C705" s="3" t="str">
        <f>"陈彦祯"</f>
        <v>陈彦祯</v>
      </c>
      <c r="D705" s="3" t="s">
        <v>684</v>
      </c>
    </row>
    <row r="706" spans="1:4" ht="24.75" customHeight="1">
      <c r="A706" s="3" t="str">
        <f>"34892021110312552939346"</f>
        <v>34892021110312552939346</v>
      </c>
      <c r="B706" s="3" t="s">
        <v>428</v>
      </c>
      <c r="C706" s="3" t="str">
        <f>"王江"</f>
        <v>王江</v>
      </c>
      <c r="D706" s="3" t="s">
        <v>567</v>
      </c>
    </row>
    <row r="707" spans="1:4" ht="24.75" customHeight="1">
      <c r="A707" s="3" t="str">
        <f>"34892021110312554539348"</f>
        <v>34892021110312554539348</v>
      </c>
      <c r="B707" s="3" t="s">
        <v>428</v>
      </c>
      <c r="C707" s="3" t="str">
        <f>"王学"</f>
        <v>王学</v>
      </c>
      <c r="D707" s="3" t="s">
        <v>226</v>
      </c>
    </row>
    <row r="708" spans="1:4" ht="24.75" customHeight="1">
      <c r="A708" s="3" t="str">
        <f>"34892021110313024539387"</f>
        <v>34892021110313024539387</v>
      </c>
      <c r="B708" s="3" t="s">
        <v>428</v>
      </c>
      <c r="C708" s="3" t="str">
        <f>"吴金娜"</f>
        <v>吴金娜</v>
      </c>
      <c r="D708" s="3" t="s">
        <v>57</v>
      </c>
    </row>
    <row r="709" spans="1:4" ht="24.75" customHeight="1">
      <c r="A709" s="3" t="str">
        <f>"34892021110313024739388"</f>
        <v>34892021110313024739388</v>
      </c>
      <c r="B709" s="3" t="s">
        <v>428</v>
      </c>
      <c r="C709" s="3" t="str">
        <f>"李应程"</f>
        <v>李应程</v>
      </c>
      <c r="D709" s="3" t="s">
        <v>685</v>
      </c>
    </row>
    <row r="710" spans="1:4" ht="24.75" customHeight="1">
      <c r="A710" s="3" t="str">
        <f>"34892021110313065539416"</f>
        <v>34892021110313065539416</v>
      </c>
      <c r="B710" s="3" t="s">
        <v>428</v>
      </c>
      <c r="C710" s="3" t="str">
        <f>"吴琼妹"</f>
        <v>吴琼妹</v>
      </c>
      <c r="D710" s="3" t="s">
        <v>686</v>
      </c>
    </row>
    <row r="711" spans="1:4" ht="24.75" customHeight="1">
      <c r="A711" s="3" t="str">
        <f>"34892021110313110539452"</f>
        <v>34892021110313110539452</v>
      </c>
      <c r="B711" s="3" t="s">
        <v>428</v>
      </c>
      <c r="C711" s="3" t="str">
        <f>"苏运晓"</f>
        <v>苏运晓</v>
      </c>
      <c r="D711" s="3" t="s">
        <v>687</v>
      </c>
    </row>
    <row r="712" spans="1:4" ht="24.75" customHeight="1">
      <c r="A712" s="3" t="str">
        <f>"34892021110313122839460"</f>
        <v>34892021110313122839460</v>
      </c>
      <c r="B712" s="3" t="s">
        <v>428</v>
      </c>
      <c r="C712" s="3" t="str">
        <f>"李婷"</f>
        <v>李婷</v>
      </c>
      <c r="D712" s="3" t="s">
        <v>688</v>
      </c>
    </row>
    <row r="713" spans="1:4" ht="24.75" customHeight="1">
      <c r="A713" s="3" t="str">
        <f>"34892021110313151639476"</f>
        <v>34892021110313151639476</v>
      </c>
      <c r="B713" s="3" t="s">
        <v>428</v>
      </c>
      <c r="C713" s="3" t="str">
        <f>"林声伟"</f>
        <v>林声伟</v>
      </c>
      <c r="D713" s="3" t="s">
        <v>689</v>
      </c>
    </row>
    <row r="714" spans="1:4" ht="24.75" customHeight="1">
      <c r="A714" s="3" t="str">
        <f>"34892021110313160039484"</f>
        <v>34892021110313160039484</v>
      </c>
      <c r="B714" s="3" t="s">
        <v>428</v>
      </c>
      <c r="C714" s="3" t="str">
        <f>"孔曾"</f>
        <v>孔曾</v>
      </c>
      <c r="D714" s="3" t="s">
        <v>690</v>
      </c>
    </row>
    <row r="715" spans="1:4" ht="24.75" customHeight="1">
      <c r="A715" s="3" t="str">
        <f>"34892021110313203239514"</f>
        <v>34892021110313203239514</v>
      </c>
      <c r="B715" s="3" t="s">
        <v>428</v>
      </c>
      <c r="C715" s="3" t="str">
        <f>"王瑾"</f>
        <v>王瑾</v>
      </c>
      <c r="D715" s="3" t="s">
        <v>600</v>
      </c>
    </row>
    <row r="716" spans="1:4" ht="24.75" customHeight="1">
      <c r="A716" s="3" t="str">
        <f>"34892021110313212939526"</f>
        <v>34892021110313212939526</v>
      </c>
      <c r="B716" s="3" t="s">
        <v>428</v>
      </c>
      <c r="C716" s="3" t="str">
        <f>"邱小丽"</f>
        <v>邱小丽</v>
      </c>
      <c r="D716" s="3" t="s">
        <v>691</v>
      </c>
    </row>
    <row r="717" spans="1:4" ht="24.75" customHeight="1">
      <c r="A717" s="3" t="str">
        <f>"34892021110313222639528"</f>
        <v>34892021110313222639528</v>
      </c>
      <c r="B717" s="3" t="s">
        <v>428</v>
      </c>
      <c r="C717" s="3" t="str">
        <f>"王式再"</f>
        <v>王式再</v>
      </c>
      <c r="D717" s="3" t="s">
        <v>692</v>
      </c>
    </row>
    <row r="718" spans="1:4" ht="24.75" customHeight="1">
      <c r="A718" s="3" t="str">
        <f>"34892021110313284539562"</f>
        <v>34892021110313284539562</v>
      </c>
      <c r="B718" s="3" t="s">
        <v>428</v>
      </c>
      <c r="C718" s="3" t="str">
        <f>"时广宁"</f>
        <v>时广宁</v>
      </c>
      <c r="D718" s="3" t="s">
        <v>693</v>
      </c>
    </row>
    <row r="719" spans="1:4" ht="24.75" customHeight="1">
      <c r="A719" s="3" t="str">
        <f>"34892021110313295439566"</f>
        <v>34892021110313295439566</v>
      </c>
      <c r="B719" s="3" t="s">
        <v>428</v>
      </c>
      <c r="C719" s="3" t="str">
        <f>"陈青琦"</f>
        <v>陈青琦</v>
      </c>
      <c r="D719" s="3" t="s">
        <v>694</v>
      </c>
    </row>
    <row r="720" spans="1:4" ht="24.75" customHeight="1">
      <c r="A720" s="3" t="str">
        <f>"34892021110313331939584"</f>
        <v>34892021110313331939584</v>
      </c>
      <c r="B720" s="3" t="s">
        <v>428</v>
      </c>
      <c r="C720" s="3" t="str">
        <f>"王春晓"</f>
        <v>王春晓</v>
      </c>
      <c r="D720" s="3" t="s">
        <v>247</v>
      </c>
    </row>
    <row r="721" spans="1:4" ht="24.75" customHeight="1">
      <c r="A721" s="3" t="str">
        <f>"34892021110313335339587"</f>
        <v>34892021110313335339587</v>
      </c>
      <c r="B721" s="3" t="s">
        <v>428</v>
      </c>
      <c r="C721" s="3" t="str">
        <f>"伍翠"</f>
        <v>伍翠</v>
      </c>
      <c r="D721" s="3" t="s">
        <v>695</v>
      </c>
    </row>
    <row r="722" spans="1:4" ht="24.75" customHeight="1">
      <c r="A722" s="3" t="str">
        <f>"34892021110313340439592"</f>
        <v>34892021110313340439592</v>
      </c>
      <c r="B722" s="3" t="s">
        <v>428</v>
      </c>
      <c r="C722" s="3" t="str">
        <f>"陈静"</f>
        <v>陈静</v>
      </c>
      <c r="D722" s="3" t="s">
        <v>696</v>
      </c>
    </row>
    <row r="723" spans="1:4" ht="24.75" customHeight="1">
      <c r="A723" s="3" t="str">
        <f>"34892021110313391339619"</f>
        <v>34892021110313391339619</v>
      </c>
      <c r="B723" s="3" t="s">
        <v>428</v>
      </c>
      <c r="C723" s="3" t="str">
        <f>"王大迈"</f>
        <v>王大迈</v>
      </c>
      <c r="D723" s="3" t="s">
        <v>577</v>
      </c>
    </row>
    <row r="724" spans="1:4" ht="24.75" customHeight="1">
      <c r="A724" s="3" t="str">
        <f>"34892021110313413439635"</f>
        <v>34892021110313413439635</v>
      </c>
      <c r="B724" s="3" t="s">
        <v>428</v>
      </c>
      <c r="C724" s="3" t="str">
        <f>"王茹娇"</f>
        <v>王茹娇</v>
      </c>
      <c r="D724" s="3" t="s">
        <v>697</v>
      </c>
    </row>
    <row r="725" spans="1:4" ht="24.75" customHeight="1">
      <c r="A725" s="3" t="str">
        <f>"34892021110313421739636"</f>
        <v>34892021110313421739636</v>
      </c>
      <c r="B725" s="3" t="s">
        <v>428</v>
      </c>
      <c r="C725" s="3" t="str">
        <f>"李以虹"</f>
        <v>李以虹</v>
      </c>
      <c r="D725" s="3" t="s">
        <v>698</v>
      </c>
    </row>
    <row r="726" spans="1:4" ht="24.75" customHeight="1">
      <c r="A726" s="3" t="str">
        <f>"34892021110313463239658"</f>
        <v>34892021110313463239658</v>
      </c>
      <c r="B726" s="3" t="s">
        <v>428</v>
      </c>
      <c r="C726" s="3" t="str">
        <f>"李晓燕"</f>
        <v>李晓燕</v>
      </c>
      <c r="D726" s="3" t="s">
        <v>699</v>
      </c>
    </row>
    <row r="727" spans="1:4" ht="24.75" customHeight="1">
      <c r="A727" s="3" t="str">
        <f>"34892021110313470239661"</f>
        <v>34892021110313470239661</v>
      </c>
      <c r="B727" s="3" t="s">
        <v>428</v>
      </c>
      <c r="C727" s="3" t="str">
        <f>"王璐璐"</f>
        <v>王璐璐</v>
      </c>
      <c r="D727" s="3" t="s">
        <v>700</v>
      </c>
    </row>
    <row r="728" spans="1:4" ht="24.75" customHeight="1">
      <c r="A728" s="3" t="str">
        <f>"34892021110313475339665"</f>
        <v>34892021110313475339665</v>
      </c>
      <c r="B728" s="3" t="s">
        <v>428</v>
      </c>
      <c r="C728" s="3" t="str">
        <f>"潘家鹏"</f>
        <v>潘家鹏</v>
      </c>
      <c r="D728" s="3" t="s">
        <v>701</v>
      </c>
    </row>
    <row r="729" spans="1:4" ht="24.75" customHeight="1">
      <c r="A729" s="3" t="str">
        <f>"34892021110313491239672"</f>
        <v>34892021110313491239672</v>
      </c>
      <c r="B729" s="3" t="s">
        <v>428</v>
      </c>
      <c r="C729" s="3" t="str">
        <f>"周惠瑶"</f>
        <v>周惠瑶</v>
      </c>
      <c r="D729" s="3" t="s">
        <v>702</v>
      </c>
    </row>
    <row r="730" spans="1:4" ht="24.75" customHeight="1">
      <c r="A730" s="3" t="str">
        <f>"34892021110313501239676"</f>
        <v>34892021110313501239676</v>
      </c>
      <c r="B730" s="3" t="s">
        <v>428</v>
      </c>
      <c r="C730" s="3" t="str">
        <f>"韩文娴"</f>
        <v>韩文娴</v>
      </c>
      <c r="D730" s="3" t="s">
        <v>703</v>
      </c>
    </row>
    <row r="731" spans="1:4" ht="24.75" customHeight="1">
      <c r="A731" s="3" t="str">
        <f>"34892021110313502139677"</f>
        <v>34892021110313502139677</v>
      </c>
      <c r="B731" s="3" t="s">
        <v>428</v>
      </c>
      <c r="C731" s="3" t="str">
        <f>"王艾丽"</f>
        <v>王艾丽</v>
      </c>
      <c r="D731" s="3" t="s">
        <v>704</v>
      </c>
    </row>
    <row r="732" spans="1:4" ht="24.75" customHeight="1">
      <c r="A732" s="3" t="str">
        <f>"34892021110313521539682"</f>
        <v>34892021110313521539682</v>
      </c>
      <c r="B732" s="3" t="s">
        <v>428</v>
      </c>
      <c r="C732" s="3" t="str">
        <f>"林玲玲"</f>
        <v>林玲玲</v>
      </c>
      <c r="D732" s="3" t="s">
        <v>705</v>
      </c>
    </row>
    <row r="733" spans="1:4" ht="24.75" customHeight="1">
      <c r="A733" s="3" t="str">
        <f>"34892021110314020139718"</f>
        <v>34892021110314020139718</v>
      </c>
      <c r="B733" s="3" t="s">
        <v>428</v>
      </c>
      <c r="C733" s="3" t="str">
        <f>"魏巧苑"</f>
        <v>魏巧苑</v>
      </c>
      <c r="D733" s="3" t="s">
        <v>706</v>
      </c>
    </row>
    <row r="734" spans="1:4" ht="24.75" customHeight="1">
      <c r="A734" s="3" t="str">
        <f>"34892021110314034439730"</f>
        <v>34892021110314034439730</v>
      </c>
      <c r="B734" s="3" t="s">
        <v>428</v>
      </c>
      <c r="C734" s="3" t="str">
        <f>"曾晶"</f>
        <v>曾晶</v>
      </c>
      <c r="D734" s="3" t="s">
        <v>707</v>
      </c>
    </row>
    <row r="735" spans="1:4" ht="24.75" customHeight="1">
      <c r="A735" s="3" t="str">
        <f>"34892021110314062239742"</f>
        <v>34892021110314062239742</v>
      </c>
      <c r="B735" s="3" t="s">
        <v>428</v>
      </c>
      <c r="C735" s="3" t="str">
        <f>"苏文海"</f>
        <v>苏文海</v>
      </c>
      <c r="D735" s="3" t="s">
        <v>708</v>
      </c>
    </row>
    <row r="736" spans="1:4" ht="24.75" customHeight="1">
      <c r="A736" s="3" t="str">
        <f>"34892021110314151739794"</f>
        <v>34892021110314151739794</v>
      </c>
      <c r="B736" s="3" t="s">
        <v>428</v>
      </c>
      <c r="C736" s="3" t="str">
        <f>"钟学帆"</f>
        <v>钟学帆</v>
      </c>
      <c r="D736" s="3" t="s">
        <v>709</v>
      </c>
    </row>
    <row r="737" spans="1:4" ht="24.75" customHeight="1">
      <c r="A737" s="3" t="str">
        <f>"34892021110314170539805"</f>
        <v>34892021110314170539805</v>
      </c>
      <c r="B737" s="3" t="s">
        <v>428</v>
      </c>
      <c r="C737" s="3" t="str">
        <f>"黄燕"</f>
        <v>黄燕</v>
      </c>
      <c r="D737" s="3" t="s">
        <v>710</v>
      </c>
    </row>
    <row r="738" spans="1:4" ht="24.75" customHeight="1">
      <c r="A738" s="3" t="str">
        <f>"34892021110314215039828"</f>
        <v>34892021110314215039828</v>
      </c>
      <c r="B738" s="3" t="s">
        <v>428</v>
      </c>
      <c r="C738" s="3" t="str">
        <f>"李仕男"</f>
        <v>李仕男</v>
      </c>
      <c r="D738" s="3" t="s">
        <v>416</v>
      </c>
    </row>
    <row r="739" spans="1:4" ht="24.75" customHeight="1">
      <c r="A739" s="3" t="str">
        <f>"34892021110314220639830"</f>
        <v>34892021110314220639830</v>
      </c>
      <c r="B739" s="3" t="s">
        <v>428</v>
      </c>
      <c r="C739" s="3" t="str">
        <f>"王瑞锦"</f>
        <v>王瑞锦</v>
      </c>
      <c r="D739" s="3" t="s">
        <v>711</v>
      </c>
    </row>
    <row r="740" spans="1:4" ht="24.75" customHeight="1">
      <c r="A740" s="3" t="str">
        <f>"34892021110314253539850"</f>
        <v>34892021110314253539850</v>
      </c>
      <c r="B740" s="3" t="s">
        <v>428</v>
      </c>
      <c r="C740" s="3" t="str">
        <f>"李平焕"</f>
        <v>李平焕</v>
      </c>
      <c r="D740" s="3" t="s">
        <v>712</v>
      </c>
    </row>
    <row r="741" spans="1:4" ht="24.75" customHeight="1">
      <c r="A741" s="3" t="str">
        <f>"34892021110314272839856"</f>
        <v>34892021110314272839856</v>
      </c>
      <c r="B741" s="3" t="s">
        <v>428</v>
      </c>
      <c r="C741" s="3" t="str">
        <f>"吴秀燕"</f>
        <v>吴秀燕</v>
      </c>
      <c r="D741" s="3" t="s">
        <v>713</v>
      </c>
    </row>
    <row r="742" spans="1:4" ht="24.75" customHeight="1">
      <c r="A742" s="3" t="str">
        <f>"34892021110314294339877"</f>
        <v>34892021110314294339877</v>
      </c>
      <c r="B742" s="3" t="s">
        <v>428</v>
      </c>
      <c r="C742" s="3" t="str">
        <f>"王家宇"</f>
        <v>王家宇</v>
      </c>
      <c r="D742" s="3" t="s">
        <v>714</v>
      </c>
    </row>
    <row r="743" spans="1:4" ht="24.75" customHeight="1">
      <c r="A743" s="3" t="str">
        <f>"34892021110314295439881"</f>
        <v>34892021110314295439881</v>
      </c>
      <c r="B743" s="3" t="s">
        <v>428</v>
      </c>
      <c r="C743" s="3" t="str">
        <f>"吴乾青"</f>
        <v>吴乾青</v>
      </c>
      <c r="D743" s="3" t="s">
        <v>715</v>
      </c>
    </row>
    <row r="744" spans="1:4" ht="24.75" customHeight="1">
      <c r="A744" s="3" t="str">
        <f>"34892021110314301939884"</f>
        <v>34892021110314301939884</v>
      </c>
      <c r="B744" s="3" t="s">
        <v>428</v>
      </c>
      <c r="C744" s="3" t="str">
        <f>"魏佳琪"</f>
        <v>魏佳琪</v>
      </c>
      <c r="D744" s="3" t="s">
        <v>716</v>
      </c>
    </row>
    <row r="745" spans="1:4" ht="24.75" customHeight="1">
      <c r="A745" s="3" t="str">
        <f>"34892021110314302539886"</f>
        <v>34892021110314302539886</v>
      </c>
      <c r="B745" s="3" t="s">
        <v>428</v>
      </c>
      <c r="C745" s="3" t="str">
        <f>"陈壮婷"</f>
        <v>陈壮婷</v>
      </c>
      <c r="D745" s="3" t="s">
        <v>717</v>
      </c>
    </row>
    <row r="746" spans="1:4" ht="24.75" customHeight="1">
      <c r="A746" s="3" t="str">
        <f>"34892021110314315139896"</f>
        <v>34892021110314315139896</v>
      </c>
      <c r="B746" s="3" t="s">
        <v>428</v>
      </c>
      <c r="C746" s="3" t="str">
        <f>"符春美"</f>
        <v>符春美</v>
      </c>
      <c r="D746" s="3" t="s">
        <v>718</v>
      </c>
    </row>
    <row r="747" spans="1:4" ht="24.75" customHeight="1">
      <c r="A747" s="3" t="str">
        <f>"34892021110314360739920"</f>
        <v>34892021110314360739920</v>
      </c>
      <c r="B747" s="3" t="s">
        <v>428</v>
      </c>
      <c r="C747" s="3" t="str">
        <f>"吉紫倩"</f>
        <v>吉紫倩</v>
      </c>
      <c r="D747" s="3" t="s">
        <v>719</v>
      </c>
    </row>
    <row r="748" spans="1:4" ht="24.75" customHeight="1">
      <c r="A748" s="3" t="str">
        <f>"34892021110314394339950"</f>
        <v>34892021110314394339950</v>
      </c>
      <c r="B748" s="3" t="s">
        <v>428</v>
      </c>
      <c r="C748" s="3" t="str">
        <f>"符星夏"</f>
        <v>符星夏</v>
      </c>
      <c r="D748" s="3" t="s">
        <v>720</v>
      </c>
    </row>
    <row r="749" spans="1:4" ht="24.75" customHeight="1">
      <c r="A749" s="3" t="str">
        <f>"34892021110314421339978"</f>
        <v>34892021110314421339978</v>
      </c>
      <c r="B749" s="3" t="s">
        <v>428</v>
      </c>
      <c r="C749" s="3" t="str">
        <f>"吴金玲"</f>
        <v>吴金玲</v>
      </c>
      <c r="D749" s="3" t="s">
        <v>721</v>
      </c>
    </row>
    <row r="750" spans="1:4" ht="24.75" customHeight="1">
      <c r="A750" s="3" t="str">
        <f>"34892021110314433039985"</f>
        <v>34892021110314433039985</v>
      </c>
      <c r="B750" s="3" t="s">
        <v>428</v>
      </c>
      <c r="C750" s="3" t="str">
        <f>"符美秋"</f>
        <v>符美秋</v>
      </c>
      <c r="D750" s="3" t="s">
        <v>722</v>
      </c>
    </row>
    <row r="751" spans="1:4" ht="24.75" customHeight="1">
      <c r="A751" s="3" t="str">
        <f>"34892021110314452140003"</f>
        <v>34892021110314452140003</v>
      </c>
      <c r="B751" s="3" t="s">
        <v>428</v>
      </c>
      <c r="C751" s="3" t="str">
        <f>"莫丹花"</f>
        <v>莫丹花</v>
      </c>
      <c r="D751" s="3" t="s">
        <v>723</v>
      </c>
    </row>
    <row r="752" spans="1:4" ht="24.75" customHeight="1">
      <c r="A752" s="3" t="str">
        <f>"34892021110314462340011"</f>
        <v>34892021110314462340011</v>
      </c>
      <c r="B752" s="3" t="s">
        <v>428</v>
      </c>
      <c r="C752" s="3" t="str">
        <f>"符谷雨"</f>
        <v>符谷雨</v>
      </c>
      <c r="D752" s="3" t="s">
        <v>724</v>
      </c>
    </row>
    <row r="753" spans="1:4" ht="24.75" customHeight="1">
      <c r="A753" s="3" t="str">
        <f>"34892021110314463640013"</f>
        <v>34892021110314463640013</v>
      </c>
      <c r="B753" s="3" t="s">
        <v>428</v>
      </c>
      <c r="C753" s="3" t="str">
        <f>"杜齐重"</f>
        <v>杜齐重</v>
      </c>
      <c r="D753" s="3" t="s">
        <v>725</v>
      </c>
    </row>
    <row r="754" spans="1:4" ht="24.75" customHeight="1">
      <c r="A754" s="3" t="str">
        <f>"34892021110314471940017"</f>
        <v>34892021110314471940017</v>
      </c>
      <c r="B754" s="3" t="s">
        <v>428</v>
      </c>
      <c r="C754" s="3" t="str">
        <f>"吴长权"</f>
        <v>吴长权</v>
      </c>
      <c r="D754" s="3" t="s">
        <v>726</v>
      </c>
    </row>
    <row r="755" spans="1:4" ht="24.75" customHeight="1">
      <c r="A755" s="3" t="str">
        <f>"34892021110314472540018"</f>
        <v>34892021110314472540018</v>
      </c>
      <c r="B755" s="3" t="s">
        <v>428</v>
      </c>
      <c r="C755" s="3" t="str">
        <f>"张俊晖"</f>
        <v>张俊晖</v>
      </c>
      <c r="D755" s="3" t="s">
        <v>727</v>
      </c>
    </row>
    <row r="756" spans="1:4" ht="24.75" customHeight="1">
      <c r="A756" s="3" t="str">
        <f>"34892021110314520940052"</f>
        <v>34892021110314520940052</v>
      </c>
      <c r="B756" s="3" t="s">
        <v>428</v>
      </c>
      <c r="C756" s="3" t="str">
        <f>"李娟"</f>
        <v>李娟</v>
      </c>
      <c r="D756" s="3" t="s">
        <v>728</v>
      </c>
    </row>
    <row r="757" spans="1:4" ht="24.75" customHeight="1">
      <c r="A757" s="3" t="str">
        <f>"34892021110314563540086"</f>
        <v>34892021110314563540086</v>
      </c>
      <c r="B757" s="3" t="s">
        <v>428</v>
      </c>
      <c r="C757" s="3" t="str">
        <f>"王潇伟"</f>
        <v>王潇伟</v>
      </c>
      <c r="D757" s="3" t="s">
        <v>729</v>
      </c>
    </row>
    <row r="758" spans="1:4" ht="24.75" customHeight="1">
      <c r="A758" s="3" t="str">
        <f>"34892021110314575240096"</f>
        <v>34892021110314575240096</v>
      </c>
      <c r="B758" s="3" t="s">
        <v>428</v>
      </c>
      <c r="C758" s="3" t="str">
        <f>"温镇宇"</f>
        <v>温镇宇</v>
      </c>
      <c r="D758" s="3" t="s">
        <v>730</v>
      </c>
    </row>
    <row r="759" spans="1:4" ht="24.75" customHeight="1">
      <c r="A759" s="3" t="str">
        <f>"34892021110314594640109"</f>
        <v>34892021110314594640109</v>
      </c>
      <c r="B759" s="3" t="s">
        <v>428</v>
      </c>
      <c r="C759" s="3" t="str">
        <f>"周皓"</f>
        <v>周皓</v>
      </c>
      <c r="D759" s="3" t="s">
        <v>731</v>
      </c>
    </row>
    <row r="760" spans="1:4" ht="24.75" customHeight="1">
      <c r="A760" s="3" t="str">
        <f>"34892021110315002940114"</f>
        <v>34892021110315002940114</v>
      </c>
      <c r="B760" s="3" t="s">
        <v>428</v>
      </c>
      <c r="C760" s="3" t="str">
        <f>"曾海琼"</f>
        <v>曾海琼</v>
      </c>
      <c r="D760" s="3" t="s">
        <v>732</v>
      </c>
    </row>
    <row r="761" spans="1:4" ht="24.75" customHeight="1">
      <c r="A761" s="3" t="str">
        <f>"34892021110315014340128"</f>
        <v>34892021110315014340128</v>
      </c>
      <c r="B761" s="3" t="s">
        <v>428</v>
      </c>
      <c r="C761" s="3" t="str">
        <f>"杨茹"</f>
        <v>杨茹</v>
      </c>
      <c r="D761" s="3" t="s">
        <v>733</v>
      </c>
    </row>
    <row r="762" spans="1:4" ht="24.75" customHeight="1">
      <c r="A762" s="3" t="str">
        <f>"34892021110315030640132"</f>
        <v>34892021110315030640132</v>
      </c>
      <c r="B762" s="3" t="s">
        <v>428</v>
      </c>
      <c r="C762" s="3" t="str">
        <f>"周敏华"</f>
        <v>周敏华</v>
      </c>
      <c r="D762" s="3" t="s">
        <v>734</v>
      </c>
    </row>
    <row r="763" spans="1:4" ht="24.75" customHeight="1">
      <c r="A763" s="3" t="str">
        <f>"34892021110315033540139"</f>
        <v>34892021110315033540139</v>
      </c>
      <c r="B763" s="3" t="s">
        <v>428</v>
      </c>
      <c r="C763" s="3" t="str">
        <f>"杨芳"</f>
        <v>杨芳</v>
      </c>
      <c r="D763" s="3" t="s">
        <v>735</v>
      </c>
    </row>
    <row r="764" spans="1:4" ht="24.75" customHeight="1">
      <c r="A764" s="3" t="str">
        <f>"34892021110315055940170"</f>
        <v>34892021110315055940170</v>
      </c>
      <c r="B764" s="3" t="s">
        <v>428</v>
      </c>
      <c r="C764" s="3" t="str">
        <f>"吴保娇"</f>
        <v>吴保娇</v>
      </c>
      <c r="D764" s="3" t="s">
        <v>736</v>
      </c>
    </row>
    <row r="765" spans="1:4" ht="24.75" customHeight="1">
      <c r="A765" s="3" t="str">
        <f>"34892021110315065340180"</f>
        <v>34892021110315065340180</v>
      </c>
      <c r="B765" s="3" t="s">
        <v>428</v>
      </c>
      <c r="C765" s="3" t="str">
        <f>"谭江连"</f>
        <v>谭江连</v>
      </c>
      <c r="D765" s="3" t="s">
        <v>737</v>
      </c>
    </row>
    <row r="766" spans="1:4" ht="24.75" customHeight="1">
      <c r="A766" s="3" t="str">
        <f>"34892021110315083640196"</f>
        <v>34892021110315083640196</v>
      </c>
      <c r="B766" s="3" t="s">
        <v>428</v>
      </c>
      <c r="C766" s="3" t="str">
        <f>"林琳"</f>
        <v>林琳</v>
      </c>
      <c r="D766" s="3" t="s">
        <v>738</v>
      </c>
    </row>
    <row r="767" spans="1:4" ht="24.75" customHeight="1">
      <c r="A767" s="3" t="str">
        <f>"34892021110315095940207"</f>
        <v>34892021110315095940207</v>
      </c>
      <c r="B767" s="3" t="s">
        <v>428</v>
      </c>
      <c r="C767" s="3" t="str">
        <f>"赵秀兰"</f>
        <v>赵秀兰</v>
      </c>
      <c r="D767" s="3" t="s">
        <v>739</v>
      </c>
    </row>
    <row r="768" spans="1:4" ht="24.75" customHeight="1">
      <c r="A768" s="3" t="str">
        <f>"34892021110315102540209"</f>
        <v>34892021110315102540209</v>
      </c>
      <c r="B768" s="3" t="s">
        <v>428</v>
      </c>
      <c r="C768" s="3" t="str">
        <f>"吴菁菁"</f>
        <v>吴菁菁</v>
      </c>
      <c r="D768" s="3" t="s">
        <v>740</v>
      </c>
    </row>
    <row r="769" spans="1:4" ht="24.75" customHeight="1">
      <c r="A769" s="3" t="str">
        <f>"34892021110315110440215"</f>
        <v>34892021110315110440215</v>
      </c>
      <c r="B769" s="3" t="s">
        <v>428</v>
      </c>
      <c r="C769" s="3" t="str">
        <f>"陈欣妍"</f>
        <v>陈欣妍</v>
      </c>
      <c r="D769" s="3" t="s">
        <v>741</v>
      </c>
    </row>
    <row r="770" spans="1:4" ht="24.75" customHeight="1">
      <c r="A770" s="3" t="str">
        <f>"34892021110315113740217"</f>
        <v>34892021110315113740217</v>
      </c>
      <c r="B770" s="3" t="s">
        <v>428</v>
      </c>
      <c r="C770" s="3" t="str">
        <f>"庄小扬"</f>
        <v>庄小扬</v>
      </c>
      <c r="D770" s="3" t="s">
        <v>742</v>
      </c>
    </row>
    <row r="771" spans="1:4" ht="24.75" customHeight="1">
      <c r="A771" s="3" t="str">
        <f>"34892021110315115540220"</f>
        <v>34892021110315115540220</v>
      </c>
      <c r="B771" s="3" t="s">
        <v>428</v>
      </c>
      <c r="C771" s="3" t="str">
        <f>"陈奕港"</f>
        <v>陈奕港</v>
      </c>
      <c r="D771" s="3" t="s">
        <v>743</v>
      </c>
    </row>
    <row r="772" spans="1:4" ht="24.75" customHeight="1">
      <c r="A772" s="3" t="str">
        <f>"34892021110315120340224"</f>
        <v>34892021110315120340224</v>
      </c>
      <c r="B772" s="3" t="s">
        <v>428</v>
      </c>
      <c r="C772" s="3" t="str">
        <f>"罗莉莉"</f>
        <v>罗莉莉</v>
      </c>
      <c r="D772" s="3" t="s">
        <v>744</v>
      </c>
    </row>
    <row r="773" spans="1:4" ht="24.75" customHeight="1">
      <c r="A773" s="3" t="str">
        <f>"34892021110315122240227"</f>
        <v>34892021110315122240227</v>
      </c>
      <c r="B773" s="3" t="s">
        <v>428</v>
      </c>
      <c r="C773" s="3" t="str">
        <f>"王文荣"</f>
        <v>王文荣</v>
      </c>
      <c r="D773" s="3" t="s">
        <v>745</v>
      </c>
    </row>
    <row r="774" spans="1:4" ht="24.75" customHeight="1">
      <c r="A774" s="3" t="str">
        <f>"34892021110315130540230"</f>
        <v>34892021110315130540230</v>
      </c>
      <c r="B774" s="3" t="s">
        <v>428</v>
      </c>
      <c r="C774" s="3" t="str">
        <f>"韩路"</f>
        <v>韩路</v>
      </c>
      <c r="D774" s="3" t="s">
        <v>746</v>
      </c>
    </row>
    <row r="775" spans="1:4" ht="24.75" customHeight="1">
      <c r="A775" s="3" t="str">
        <f>"34892021110315142740242"</f>
        <v>34892021110315142740242</v>
      </c>
      <c r="B775" s="3" t="s">
        <v>428</v>
      </c>
      <c r="C775" s="3" t="str">
        <f>"林芳江"</f>
        <v>林芳江</v>
      </c>
      <c r="D775" s="3" t="s">
        <v>747</v>
      </c>
    </row>
    <row r="776" spans="1:4" ht="24.75" customHeight="1">
      <c r="A776" s="3" t="str">
        <f>"34892021110315155640254"</f>
        <v>34892021110315155640254</v>
      </c>
      <c r="B776" s="3" t="s">
        <v>428</v>
      </c>
      <c r="C776" s="3" t="str">
        <f>"黄宇"</f>
        <v>黄宇</v>
      </c>
      <c r="D776" s="3" t="s">
        <v>748</v>
      </c>
    </row>
    <row r="777" spans="1:4" ht="24.75" customHeight="1">
      <c r="A777" s="3" t="str">
        <f>"34892021110315165740266"</f>
        <v>34892021110315165740266</v>
      </c>
      <c r="B777" s="3" t="s">
        <v>428</v>
      </c>
      <c r="C777" s="3" t="str">
        <f>"王紫韵"</f>
        <v>王紫韵</v>
      </c>
      <c r="D777" s="3" t="s">
        <v>749</v>
      </c>
    </row>
    <row r="778" spans="1:4" ht="24.75" customHeight="1">
      <c r="A778" s="3" t="str">
        <f>"34892021110315192840284"</f>
        <v>34892021110315192840284</v>
      </c>
      <c r="B778" s="3" t="s">
        <v>428</v>
      </c>
      <c r="C778" s="3" t="str">
        <f>"李娜"</f>
        <v>李娜</v>
      </c>
      <c r="D778" s="3" t="s">
        <v>750</v>
      </c>
    </row>
    <row r="779" spans="1:4" ht="24.75" customHeight="1">
      <c r="A779" s="3" t="str">
        <f>"34892021110315200740290"</f>
        <v>34892021110315200740290</v>
      </c>
      <c r="B779" s="3" t="s">
        <v>428</v>
      </c>
      <c r="C779" s="3" t="str">
        <f>"黄小倩"</f>
        <v>黄小倩</v>
      </c>
      <c r="D779" s="3" t="s">
        <v>751</v>
      </c>
    </row>
    <row r="780" spans="1:4" ht="24.75" customHeight="1">
      <c r="A780" s="3" t="str">
        <f>"34892021110315211040301"</f>
        <v>34892021110315211040301</v>
      </c>
      <c r="B780" s="3" t="s">
        <v>428</v>
      </c>
      <c r="C780" s="3" t="str">
        <f>"冯惠雅"</f>
        <v>冯惠雅</v>
      </c>
      <c r="D780" s="3" t="s">
        <v>752</v>
      </c>
    </row>
    <row r="781" spans="1:4" ht="24.75" customHeight="1">
      <c r="A781" s="3" t="str">
        <f>"34892021110315215340305"</f>
        <v>34892021110315215340305</v>
      </c>
      <c r="B781" s="3" t="s">
        <v>428</v>
      </c>
      <c r="C781" s="3" t="str">
        <f>"陈丹凤"</f>
        <v>陈丹凤</v>
      </c>
      <c r="D781" s="3" t="s">
        <v>753</v>
      </c>
    </row>
    <row r="782" spans="1:4" ht="24.75" customHeight="1">
      <c r="A782" s="3" t="str">
        <f>"34892021110315222240310"</f>
        <v>34892021110315222240310</v>
      </c>
      <c r="B782" s="3" t="s">
        <v>428</v>
      </c>
      <c r="C782" s="3" t="str">
        <f>"潘东"</f>
        <v>潘东</v>
      </c>
      <c r="D782" s="3" t="s">
        <v>754</v>
      </c>
    </row>
    <row r="783" spans="1:4" ht="24.75" customHeight="1">
      <c r="A783" s="3" t="str">
        <f>"34892021110315232540317"</f>
        <v>34892021110315232540317</v>
      </c>
      <c r="B783" s="3" t="s">
        <v>428</v>
      </c>
      <c r="C783" s="3" t="str">
        <f>"王炬登"</f>
        <v>王炬登</v>
      </c>
      <c r="D783" s="3" t="s">
        <v>755</v>
      </c>
    </row>
    <row r="784" spans="1:4" ht="24.75" customHeight="1">
      <c r="A784" s="3" t="str">
        <f>"34892021110315240640323"</f>
        <v>34892021110315240640323</v>
      </c>
      <c r="B784" s="3" t="s">
        <v>428</v>
      </c>
      <c r="C784" s="3" t="str">
        <f>"林衍晶"</f>
        <v>林衍晶</v>
      </c>
      <c r="D784" s="3" t="s">
        <v>756</v>
      </c>
    </row>
    <row r="785" spans="1:4" ht="24.75" customHeight="1">
      <c r="A785" s="3" t="str">
        <f>"34892021110315252340333"</f>
        <v>34892021110315252340333</v>
      </c>
      <c r="B785" s="3" t="s">
        <v>428</v>
      </c>
      <c r="C785" s="3" t="str">
        <f>"谢芳妹"</f>
        <v>谢芳妹</v>
      </c>
      <c r="D785" s="3" t="s">
        <v>757</v>
      </c>
    </row>
    <row r="786" spans="1:4" ht="24.75" customHeight="1">
      <c r="A786" s="3" t="str">
        <f>"34892021110315264040343"</f>
        <v>34892021110315264040343</v>
      </c>
      <c r="B786" s="3" t="s">
        <v>428</v>
      </c>
      <c r="C786" s="3" t="str">
        <f>"何海冰"</f>
        <v>何海冰</v>
      </c>
      <c r="D786" s="3" t="s">
        <v>758</v>
      </c>
    </row>
    <row r="787" spans="1:4" ht="24.75" customHeight="1">
      <c r="A787" s="3" t="str">
        <f>"34892021110315291040360"</f>
        <v>34892021110315291040360</v>
      </c>
      <c r="B787" s="3" t="s">
        <v>428</v>
      </c>
      <c r="C787" s="3" t="str">
        <f>"曾雪光"</f>
        <v>曾雪光</v>
      </c>
      <c r="D787" s="3" t="s">
        <v>759</v>
      </c>
    </row>
    <row r="788" spans="1:4" ht="24.75" customHeight="1">
      <c r="A788" s="3" t="str">
        <f>"34892021110315295040366"</f>
        <v>34892021110315295040366</v>
      </c>
      <c r="B788" s="3" t="s">
        <v>428</v>
      </c>
      <c r="C788" s="3" t="str">
        <f>"林春雄"</f>
        <v>林春雄</v>
      </c>
      <c r="D788" s="3" t="s">
        <v>760</v>
      </c>
    </row>
    <row r="789" spans="1:4" ht="24.75" customHeight="1">
      <c r="A789" s="3" t="str">
        <f>"34892021110315324840388"</f>
        <v>34892021110315324840388</v>
      </c>
      <c r="B789" s="3" t="s">
        <v>428</v>
      </c>
      <c r="C789" s="3" t="str">
        <f>"汪祉君"</f>
        <v>汪祉君</v>
      </c>
      <c r="D789" s="3" t="s">
        <v>761</v>
      </c>
    </row>
    <row r="790" spans="1:4" ht="24.75" customHeight="1">
      <c r="A790" s="3" t="str">
        <f>"34892021110315350940405"</f>
        <v>34892021110315350940405</v>
      </c>
      <c r="B790" s="3" t="s">
        <v>428</v>
      </c>
      <c r="C790" s="3" t="str">
        <f>"李笔龙"</f>
        <v>李笔龙</v>
      </c>
      <c r="D790" s="3" t="s">
        <v>762</v>
      </c>
    </row>
    <row r="791" spans="1:4" ht="24.75" customHeight="1">
      <c r="A791" s="3" t="str">
        <f>"34892021110315360040413"</f>
        <v>34892021110315360040413</v>
      </c>
      <c r="B791" s="3" t="s">
        <v>428</v>
      </c>
      <c r="C791" s="3" t="str">
        <f>"何川喻"</f>
        <v>何川喻</v>
      </c>
      <c r="D791" s="3" t="s">
        <v>763</v>
      </c>
    </row>
    <row r="792" spans="1:4" ht="24.75" customHeight="1">
      <c r="A792" s="3" t="str">
        <f>"34892021110315361440416"</f>
        <v>34892021110315361440416</v>
      </c>
      <c r="B792" s="3" t="s">
        <v>428</v>
      </c>
      <c r="C792" s="3" t="str">
        <f>"钟振峰"</f>
        <v>钟振峰</v>
      </c>
      <c r="D792" s="3" t="s">
        <v>764</v>
      </c>
    </row>
    <row r="793" spans="1:4" ht="24.75" customHeight="1">
      <c r="A793" s="3" t="str">
        <f>"34892021110315382840436"</f>
        <v>34892021110315382840436</v>
      </c>
      <c r="B793" s="3" t="s">
        <v>428</v>
      </c>
      <c r="C793" s="3" t="str">
        <f>"王川健"</f>
        <v>王川健</v>
      </c>
      <c r="D793" s="3" t="s">
        <v>687</v>
      </c>
    </row>
    <row r="794" spans="1:4" ht="24.75" customHeight="1">
      <c r="A794" s="3" t="str">
        <f>"34892021110315384340439"</f>
        <v>34892021110315384340439</v>
      </c>
      <c r="B794" s="3" t="s">
        <v>428</v>
      </c>
      <c r="C794" s="3" t="str">
        <f>"石莹"</f>
        <v>石莹</v>
      </c>
      <c r="D794" s="3" t="s">
        <v>765</v>
      </c>
    </row>
    <row r="795" spans="1:4" ht="24.75" customHeight="1">
      <c r="A795" s="3" t="str">
        <f>"34892021110315414340464"</f>
        <v>34892021110315414340464</v>
      </c>
      <c r="B795" s="3" t="s">
        <v>428</v>
      </c>
      <c r="C795" s="3" t="str">
        <f>"陈婷"</f>
        <v>陈婷</v>
      </c>
      <c r="D795" s="3" t="s">
        <v>766</v>
      </c>
    </row>
    <row r="796" spans="1:4" ht="24.75" customHeight="1">
      <c r="A796" s="3" t="str">
        <f>"34892021110315421540470"</f>
        <v>34892021110315421540470</v>
      </c>
      <c r="B796" s="3" t="s">
        <v>428</v>
      </c>
      <c r="C796" s="3" t="str">
        <f>"陈太森"</f>
        <v>陈太森</v>
      </c>
      <c r="D796" s="3" t="s">
        <v>767</v>
      </c>
    </row>
    <row r="797" spans="1:4" ht="24.75" customHeight="1">
      <c r="A797" s="3" t="str">
        <f>"34892021110315425240474"</f>
        <v>34892021110315425240474</v>
      </c>
      <c r="B797" s="3" t="s">
        <v>428</v>
      </c>
      <c r="C797" s="3" t="str">
        <f>"林玉珠"</f>
        <v>林玉珠</v>
      </c>
      <c r="D797" s="3" t="s">
        <v>768</v>
      </c>
    </row>
    <row r="798" spans="1:4" ht="24.75" customHeight="1">
      <c r="A798" s="3" t="str">
        <f>"34892021110315432040477"</f>
        <v>34892021110315432040477</v>
      </c>
      <c r="B798" s="3" t="s">
        <v>428</v>
      </c>
      <c r="C798" s="3" t="str">
        <f>"李衍瑞"</f>
        <v>李衍瑞</v>
      </c>
      <c r="D798" s="3" t="s">
        <v>769</v>
      </c>
    </row>
    <row r="799" spans="1:4" ht="24.75" customHeight="1">
      <c r="A799" s="3" t="str">
        <f>"34892021110315462240495"</f>
        <v>34892021110315462240495</v>
      </c>
      <c r="B799" s="3" t="s">
        <v>428</v>
      </c>
      <c r="C799" s="3" t="str">
        <f>"杨帆"</f>
        <v>杨帆</v>
      </c>
      <c r="D799" s="3" t="s">
        <v>770</v>
      </c>
    </row>
    <row r="800" spans="1:4" ht="24.75" customHeight="1">
      <c r="A800" s="3" t="str">
        <f>"34892021110315462440497"</f>
        <v>34892021110315462440497</v>
      </c>
      <c r="B800" s="3" t="s">
        <v>428</v>
      </c>
      <c r="C800" s="3" t="str">
        <f>"吴艳"</f>
        <v>吴艳</v>
      </c>
      <c r="D800" s="3" t="s">
        <v>73</v>
      </c>
    </row>
    <row r="801" spans="1:4" ht="24.75" customHeight="1">
      <c r="A801" s="3" t="str">
        <f>"34892021110315471940502"</f>
        <v>34892021110315471940502</v>
      </c>
      <c r="B801" s="3" t="s">
        <v>428</v>
      </c>
      <c r="C801" s="3" t="str">
        <f>"黄志明"</f>
        <v>黄志明</v>
      </c>
      <c r="D801" s="3" t="s">
        <v>771</v>
      </c>
    </row>
    <row r="802" spans="1:4" ht="24.75" customHeight="1">
      <c r="A802" s="3" t="str">
        <f>"34892021110315505540523"</f>
        <v>34892021110315505540523</v>
      </c>
      <c r="B802" s="3" t="s">
        <v>428</v>
      </c>
      <c r="C802" s="3" t="str">
        <f>"王俊强"</f>
        <v>王俊强</v>
      </c>
      <c r="D802" s="3" t="s">
        <v>772</v>
      </c>
    </row>
    <row r="803" spans="1:4" ht="24.75" customHeight="1">
      <c r="A803" s="3" t="str">
        <f>"34892021110315514440532"</f>
        <v>34892021110315514440532</v>
      </c>
      <c r="B803" s="3" t="s">
        <v>428</v>
      </c>
      <c r="C803" s="3" t="str">
        <f>"麦可茹"</f>
        <v>麦可茹</v>
      </c>
      <c r="D803" s="3" t="s">
        <v>773</v>
      </c>
    </row>
    <row r="804" spans="1:4" ht="24.75" customHeight="1">
      <c r="A804" s="3" t="str">
        <f>"34892021110315594640578"</f>
        <v>34892021110315594640578</v>
      </c>
      <c r="B804" s="3" t="s">
        <v>428</v>
      </c>
      <c r="C804" s="3" t="str">
        <f>"许公柏"</f>
        <v>许公柏</v>
      </c>
      <c r="D804" s="3" t="s">
        <v>368</v>
      </c>
    </row>
    <row r="805" spans="1:4" ht="24.75" customHeight="1">
      <c r="A805" s="3" t="str">
        <f>"34892021110316011740591"</f>
        <v>34892021110316011740591</v>
      </c>
      <c r="B805" s="3" t="s">
        <v>428</v>
      </c>
      <c r="C805" s="3" t="str">
        <f>"张瑜"</f>
        <v>张瑜</v>
      </c>
      <c r="D805" s="3" t="s">
        <v>774</v>
      </c>
    </row>
    <row r="806" spans="1:4" ht="24.75" customHeight="1">
      <c r="A806" s="3" t="str">
        <f>"34892021110316025940607"</f>
        <v>34892021110316025940607</v>
      </c>
      <c r="B806" s="3" t="s">
        <v>428</v>
      </c>
      <c r="C806" s="3" t="str">
        <f>"徐子钧"</f>
        <v>徐子钧</v>
      </c>
      <c r="D806" s="3" t="s">
        <v>687</v>
      </c>
    </row>
    <row r="807" spans="1:4" ht="24.75" customHeight="1">
      <c r="A807" s="3" t="str">
        <f>"34892021110316051940623"</f>
        <v>34892021110316051940623</v>
      </c>
      <c r="B807" s="3" t="s">
        <v>428</v>
      </c>
      <c r="C807" s="3" t="str">
        <f>"孟开将"</f>
        <v>孟开将</v>
      </c>
      <c r="D807" s="3" t="s">
        <v>775</v>
      </c>
    </row>
    <row r="808" spans="1:4" ht="24.75" customHeight="1">
      <c r="A808" s="3" t="str">
        <f>"34892021110316072240641"</f>
        <v>34892021110316072240641</v>
      </c>
      <c r="B808" s="3" t="s">
        <v>428</v>
      </c>
      <c r="C808" s="3" t="str">
        <f>"朱梦颖"</f>
        <v>朱梦颖</v>
      </c>
      <c r="D808" s="3" t="s">
        <v>776</v>
      </c>
    </row>
    <row r="809" spans="1:4" ht="24.75" customHeight="1">
      <c r="A809" s="3" t="str">
        <f>"34892021110316075140644"</f>
        <v>34892021110316075140644</v>
      </c>
      <c r="B809" s="3" t="s">
        <v>428</v>
      </c>
      <c r="C809" s="3" t="str">
        <f>"陈彩丁"</f>
        <v>陈彩丁</v>
      </c>
      <c r="D809" s="3" t="s">
        <v>777</v>
      </c>
    </row>
    <row r="810" spans="1:4" ht="24.75" customHeight="1">
      <c r="A810" s="3" t="str">
        <f>"34892021110316081440649"</f>
        <v>34892021110316081440649</v>
      </c>
      <c r="B810" s="3" t="s">
        <v>428</v>
      </c>
      <c r="C810" s="3" t="str">
        <f>"张乃玲"</f>
        <v>张乃玲</v>
      </c>
      <c r="D810" s="3" t="s">
        <v>778</v>
      </c>
    </row>
    <row r="811" spans="1:4" ht="24.75" customHeight="1">
      <c r="A811" s="3" t="str">
        <f>"34892021110316100540664"</f>
        <v>34892021110316100540664</v>
      </c>
      <c r="B811" s="3" t="s">
        <v>428</v>
      </c>
      <c r="C811" s="3" t="str">
        <f>"高艺文"</f>
        <v>高艺文</v>
      </c>
      <c r="D811" s="3" t="s">
        <v>779</v>
      </c>
    </row>
    <row r="812" spans="1:4" ht="24.75" customHeight="1">
      <c r="A812" s="3" t="str">
        <f>"34892021110316150540700"</f>
        <v>34892021110316150540700</v>
      </c>
      <c r="B812" s="3" t="s">
        <v>428</v>
      </c>
      <c r="C812" s="3" t="str">
        <f>"符祥智"</f>
        <v>符祥智</v>
      </c>
      <c r="D812" s="3" t="s">
        <v>780</v>
      </c>
    </row>
    <row r="813" spans="1:4" ht="24.75" customHeight="1">
      <c r="A813" s="3" t="str">
        <f>"34892021110316152440703"</f>
        <v>34892021110316152440703</v>
      </c>
      <c r="B813" s="3" t="s">
        <v>428</v>
      </c>
      <c r="C813" s="3" t="str">
        <f>"梁舒怡"</f>
        <v>梁舒怡</v>
      </c>
      <c r="D813" s="3" t="s">
        <v>781</v>
      </c>
    </row>
    <row r="814" spans="1:4" ht="24.75" customHeight="1">
      <c r="A814" s="3" t="str">
        <f>"34892021110316163140710"</f>
        <v>34892021110316163140710</v>
      </c>
      <c r="B814" s="3" t="s">
        <v>428</v>
      </c>
      <c r="C814" s="3" t="str">
        <f>"金峰"</f>
        <v>金峰</v>
      </c>
      <c r="D814" s="3" t="s">
        <v>782</v>
      </c>
    </row>
    <row r="815" spans="1:4" ht="24.75" customHeight="1">
      <c r="A815" s="3" t="str">
        <f>"34892021110316171540717"</f>
        <v>34892021110316171540717</v>
      </c>
      <c r="B815" s="3" t="s">
        <v>428</v>
      </c>
      <c r="C815" s="3" t="str">
        <f>"林子"</f>
        <v>林子</v>
      </c>
      <c r="D815" s="3" t="s">
        <v>783</v>
      </c>
    </row>
    <row r="816" spans="1:4" ht="24.75" customHeight="1">
      <c r="A816" s="3" t="str">
        <f>"34892021110316172440721"</f>
        <v>34892021110316172440721</v>
      </c>
      <c r="B816" s="3" t="s">
        <v>428</v>
      </c>
      <c r="C816" s="3" t="str">
        <f>"陈菲"</f>
        <v>陈菲</v>
      </c>
      <c r="D816" s="3" t="s">
        <v>784</v>
      </c>
    </row>
    <row r="817" spans="1:4" ht="24.75" customHeight="1">
      <c r="A817" s="3" t="str">
        <f>"34892021110316174340723"</f>
        <v>34892021110316174340723</v>
      </c>
      <c r="B817" s="3" t="s">
        <v>428</v>
      </c>
      <c r="C817" s="3" t="str">
        <f>"唐俊苑"</f>
        <v>唐俊苑</v>
      </c>
      <c r="D817" s="3" t="s">
        <v>785</v>
      </c>
    </row>
    <row r="818" spans="1:4" ht="24.75" customHeight="1">
      <c r="A818" s="3" t="str">
        <f>"34892021110316222940762"</f>
        <v>34892021110316222940762</v>
      </c>
      <c r="B818" s="3" t="s">
        <v>428</v>
      </c>
      <c r="C818" s="3" t="str">
        <f>"王群超"</f>
        <v>王群超</v>
      </c>
      <c r="D818" s="3" t="s">
        <v>636</v>
      </c>
    </row>
    <row r="819" spans="1:4" ht="24.75" customHeight="1">
      <c r="A819" s="3" t="str">
        <f>"34892021110316231540766"</f>
        <v>34892021110316231540766</v>
      </c>
      <c r="B819" s="3" t="s">
        <v>428</v>
      </c>
      <c r="C819" s="3" t="str">
        <f>"吴小妹"</f>
        <v>吴小妹</v>
      </c>
      <c r="D819" s="3" t="s">
        <v>786</v>
      </c>
    </row>
    <row r="820" spans="1:4" ht="24.75" customHeight="1">
      <c r="A820" s="3" t="str">
        <f>"34892021110316233540770"</f>
        <v>34892021110316233540770</v>
      </c>
      <c r="B820" s="3" t="s">
        <v>428</v>
      </c>
      <c r="C820" s="3" t="str">
        <f>"邢西西"</f>
        <v>邢西西</v>
      </c>
      <c r="D820" s="3" t="s">
        <v>787</v>
      </c>
    </row>
    <row r="821" spans="1:4" ht="24.75" customHeight="1">
      <c r="A821" s="3" t="str">
        <f>"34892021110316252840787"</f>
        <v>34892021110316252840787</v>
      </c>
      <c r="B821" s="3" t="s">
        <v>428</v>
      </c>
      <c r="C821" s="3" t="str">
        <f>"蔡婷"</f>
        <v>蔡婷</v>
      </c>
      <c r="D821" s="3" t="s">
        <v>788</v>
      </c>
    </row>
    <row r="822" spans="1:4" ht="24.75" customHeight="1">
      <c r="A822" s="3" t="str">
        <f>"34892021110316275340802"</f>
        <v>34892021110316275340802</v>
      </c>
      <c r="B822" s="3" t="s">
        <v>428</v>
      </c>
      <c r="C822" s="3" t="str">
        <f>"唐米"</f>
        <v>唐米</v>
      </c>
      <c r="D822" s="3" t="s">
        <v>789</v>
      </c>
    </row>
    <row r="823" spans="1:4" ht="24.75" customHeight="1">
      <c r="A823" s="3" t="str">
        <f>"34892021110316280040804"</f>
        <v>34892021110316280040804</v>
      </c>
      <c r="B823" s="3" t="s">
        <v>428</v>
      </c>
      <c r="C823" s="3" t="str">
        <f>"潘载扬"</f>
        <v>潘载扬</v>
      </c>
      <c r="D823" s="3" t="s">
        <v>790</v>
      </c>
    </row>
    <row r="824" spans="1:4" ht="24.75" customHeight="1">
      <c r="A824" s="3" t="str">
        <f>"34892021110316282040808"</f>
        <v>34892021110316282040808</v>
      </c>
      <c r="B824" s="3" t="s">
        <v>428</v>
      </c>
      <c r="C824" s="3" t="str">
        <f>"王森"</f>
        <v>王森</v>
      </c>
      <c r="D824" s="3" t="s">
        <v>791</v>
      </c>
    </row>
    <row r="825" spans="1:4" ht="24.75" customHeight="1">
      <c r="A825" s="3" t="str">
        <f>"34892021110316282040809"</f>
        <v>34892021110316282040809</v>
      </c>
      <c r="B825" s="3" t="s">
        <v>428</v>
      </c>
      <c r="C825" s="3" t="str">
        <f>"黄子成"</f>
        <v>黄子成</v>
      </c>
      <c r="D825" s="3" t="s">
        <v>792</v>
      </c>
    </row>
    <row r="826" spans="1:4" ht="24.75" customHeight="1">
      <c r="A826" s="3" t="str">
        <f>"34892021110316284340812"</f>
        <v>34892021110316284340812</v>
      </c>
      <c r="B826" s="3" t="s">
        <v>428</v>
      </c>
      <c r="C826" s="3" t="str">
        <f>"庞宇"</f>
        <v>庞宇</v>
      </c>
      <c r="D826" s="3" t="s">
        <v>654</v>
      </c>
    </row>
    <row r="827" spans="1:4" ht="24.75" customHeight="1">
      <c r="A827" s="3" t="str">
        <f>"34892021110316291340816"</f>
        <v>34892021110316291340816</v>
      </c>
      <c r="B827" s="3" t="s">
        <v>428</v>
      </c>
      <c r="C827" s="3" t="str">
        <f>"苏静娴"</f>
        <v>苏静娴</v>
      </c>
      <c r="D827" s="3" t="s">
        <v>793</v>
      </c>
    </row>
    <row r="828" spans="1:4" ht="24.75" customHeight="1">
      <c r="A828" s="3" t="str">
        <f>"34892021110316300040824"</f>
        <v>34892021110316300040824</v>
      </c>
      <c r="B828" s="3" t="s">
        <v>428</v>
      </c>
      <c r="C828" s="3" t="str">
        <f>"王雪芬"</f>
        <v>王雪芬</v>
      </c>
      <c r="D828" s="3" t="s">
        <v>794</v>
      </c>
    </row>
    <row r="829" spans="1:4" ht="24.75" customHeight="1">
      <c r="A829" s="3" t="str">
        <f>"34892021110316314940830"</f>
        <v>34892021110316314940830</v>
      </c>
      <c r="B829" s="3" t="s">
        <v>428</v>
      </c>
      <c r="C829" s="3" t="str">
        <f>"欧琳琳"</f>
        <v>欧琳琳</v>
      </c>
      <c r="D829" s="3" t="s">
        <v>795</v>
      </c>
    </row>
    <row r="830" spans="1:4" ht="24.75" customHeight="1">
      <c r="A830" s="3" t="str">
        <f>"34892021110316340340842"</f>
        <v>34892021110316340340842</v>
      </c>
      <c r="B830" s="3" t="s">
        <v>428</v>
      </c>
      <c r="C830" s="3" t="str">
        <f>"陈垂强"</f>
        <v>陈垂强</v>
      </c>
      <c r="D830" s="3" t="s">
        <v>796</v>
      </c>
    </row>
    <row r="831" spans="1:4" ht="24.75" customHeight="1">
      <c r="A831" s="3" t="str">
        <f>"34892021110316375240861"</f>
        <v>34892021110316375240861</v>
      </c>
      <c r="B831" s="3" t="s">
        <v>428</v>
      </c>
      <c r="C831" s="3" t="str">
        <f>"吴正春"</f>
        <v>吴正春</v>
      </c>
      <c r="D831" s="3" t="s">
        <v>797</v>
      </c>
    </row>
    <row r="832" spans="1:4" ht="24.75" customHeight="1">
      <c r="A832" s="3" t="str">
        <f>"34892021110316375540862"</f>
        <v>34892021110316375540862</v>
      </c>
      <c r="B832" s="3" t="s">
        <v>428</v>
      </c>
      <c r="C832" s="3" t="str">
        <f>"李志红"</f>
        <v>李志红</v>
      </c>
      <c r="D832" s="3" t="s">
        <v>798</v>
      </c>
    </row>
    <row r="833" spans="1:4" ht="24.75" customHeight="1">
      <c r="A833" s="3" t="str">
        <f>"34892021110316382240865"</f>
        <v>34892021110316382240865</v>
      </c>
      <c r="B833" s="3" t="s">
        <v>428</v>
      </c>
      <c r="C833" s="3" t="str">
        <f>"黄淑菊"</f>
        <v>黄淑菊</v>
      </c>
      <c r="D833" s="3" t="s">
        <v>799</v>
      </c>
    </row>
    <row r="834" spans="1:4" ht="24.75" customHeight="1">
      <c r="A834" s="3" t="str">
        <f>"34892021110316401440874"</f>
        <v>34892021110316401440874</v>
      </c>
      <c r="B834" s="3" t="s">
        <v>428</v>
      </c>
      <c r="C834" s="3" t="str">
        <f>"文晓"</f>
        <v>文晓</v>
      </c>
      <c r="D834" s="3" t="s">
        <v>800</v>
      </c>
    </row>
    <row r="835" spans="1:4" ht="24.75" customHeight="1">
      <c r="A835" s="3" t="str">
        <f>"34892021110316422040883"</f>
        <v>34892021110316422040883</v>
      </c>
      <c r="B835" s="3" t="s">
        <v>428</v>
      </c>
      <c r="C835" s="3" t="str">
        <f>"陈荣福"</f>
        <v>陈荣福</v>
      </c>
      <c r="D835" s="3" t="s">
        <v>801</v>
      </c>
    </row>
    <row r="836" spans="1:4" ht="24.75" customHeight="1">
      <c r="A836" s="3" t="str">
        <f>"34892021110316434140892"</f>
        <v>34892021110316434140892</v>
      </c>
      <c r="B836" s="3" t="s">
        <v>428</v>
      </c>
      <c r="C836" s="3" t="str">
        <f>"王玉"</f>
        <v>王玉</v>
      </c>
      <c r="D836" s="3" t="s">
        <v>770</v>
      </c>
    </row>
    <row r="837" spans="1:4" ht="24.75" customHeight="1">
      <c r="A837" s="3" t="str">
        <f>"34892021110316441740898"</f>
        <v>34892021110316441740898</v>
      </c>
      <c r="B837" s="3" t="s">
        <v>428</v>
      </c>
      <c r="C837" s="3" t="str">
        <f>"梁昌俊"</f>
        <v>梁昌俊</v>
      </c>
      <c r="D837" s="3" t="s">
        <v>802</v>
      </c>
    </row>
    <row r="838" spans="1:4" ht="24.75" customHeight="1">
      <c r="A838" s="3" t="str">
        <f>"34892021110316453140903"</f>
        <v>34892021110316453140903</v>
      </c>
      <c r="B838" s="3" t="s">
        <v>428</v>
      </c>
      <c r="C838" s="3" t="str">
        <f>"黄玲"</f>
        <v>黄玲</v>
      </c>
      <c r="D838" s="3" t="s">
        <v>803</v>
      </c>
    </row>
    <row r="839" spans="1:4" ht="24.75" customHeight="1">
      <c r="A839" s="3" t="str">
        <f>"34892021110316465540910"</f>
        <v>34892021110316465540910</v>
      </c>
      <c r="B839" s="3" t="s">
        <v>428</v>
      </c>
      <c r="C839" s="3" t="str">
        <f>"陈德叶"</f>
        <v>陈德叶</v>
      </c>
      <c r="D839" s="3" t="s">
        <v>804</v>
      </c>
    </row>
    <row r="840" spans="1:4" ht="24.75" customHeight="1">
      <c r="A840" s="3" t="str">
        <f>"34892021110316471640911"</f>
        <v>34892021110316471640911</v>
      </c>
      <c r="B840" s="3" t="s">
        <v>428</v>
      </c>
      <c r="C840" s="3" t="str">
        <f>"邢艳冰"</f>
        <v>邢艳冰</v>
      </c>
      <c r="D840" s="3" t="s">
        <v>805</v>
      </c>
    </row>
    <row r="841" spans="1:4" ht="24.75" customHeight="1">
      <c r="A841" s="3" t="str">
        <f>"34892021110316480940916"</f>
        <v>34892021110316480940916</v>
      </c>
      <c r="B841" s="3" t="s">
        <v>428</v>
      </c>
      <c r="C841" s="3" t="str">
        <f>"蒙冰冰"</f>
        <v>蒙冰冰</v>
      </c>
      <c r="D841" s="3" t="s">
        <v>806</v>
      </c>
    </row>
    <row r="842" spans="1:4" ht="24.75" customHeight="1">
      <c r="A842" s="3" t="str">
        <f>"34892021110316494240923"</f>
        <v>34892021110316494240923</v>
      </c>
      <c r="B842" s="3" t="s">
        <v>428</v>
      </c>
      <c r="C842" s="3" t="str">
        <f>"曾芬"</f>
        <v>曾芬</v>
      </c>
      <c r="D842" s="3" t="s">
        <v>807</v>
      </c>
    </row>
    <row r="843" spans="1:4" ht="24.75" customHeight="1">
      <c r="A843" s="3" t="str">
        <f>"34892021110316551640963"</f>
        <v>34892021110316551640963</v>
      </c>
      <c r="B843" s="3" t="s">
        <v>428</v>
      </c>
      <c r="C843" s="3" t="str">
        <f>"谢祖笔"</f>
        <v>谢祖笔</v>
      </c>
      <c r="D843" s="3" t="s">
        <v>808</v>
      </c>
    </row>
    <row r="844" spans="1:4" ht="24.75" customHeight="1">
      <c r="A844" s="3" t="str">
        <f>"34892021110316555140968"</f>
        <v>34892021110316555140968</v>
      </c>
      <c r="B844" s="3" t="s">
        <v>428</v>
      </c>
      <c r="C844" s="3" t="str">
        <f>"孙丽玲"</f>
        <v>孙丽玲</v>
      </c>
      <c r="D844" s="3" t="s">
        <v>809</v>
      </c>
    </row>
    <row r="845" spans="1:4" ht="24.75" customHeight="1">
      <c r="A845" s="3" t="str">
        <f>"34892021110316562640973"</f>
        <v>34892021110316562640973</v>
      </c>
      <c r="B845" s="3" t="s">
        <v>428</v>
      </c>
      <c r="C845" s="3" t="str">
        <f>"符海玲"</f>
        <v>符海玲</v>
      </c>
      <c r="D845" s="3" t="s">
        <v>810</v>
      </c>
    </row>
    <row r="846" spans="1:4" ht="24.75" customHeight="1">
      <c r="A846" s="3" t="str">
        <f>"34892021110316573040980"</f>
        <v>34892021110316573040980</v>
      </c>
      <c r="B846" s="3" t="s">
        <v>428</v>
      </c>
      <c r="C846" s="3" t="str">
        <f>"方其迪"</f>
        <v>方其迪</v>
      </c>
      <c r="D846" s="3" t="s">
        <v>811</v>
      </c>
    </row>
    <row r="847" spans="1:4" ht="24.75" customHeight="1">
      <c r="A847" s="3" t="str">
        <f>"34892021110316574540983"</f>
        <v>34892021110316574540983</v>
      </c>
      <c r="B847" s="3" t="s">
        <v>428</v>
      </c>
      <c r="C847" s="3" t="str">
        <f>"周苗苗"</f>
        <v>周苗苗</v>
      </c>
      <c r="D847" s="3" t="s">
        <v>812</v>
      </c>
    </row>
    <row r="848" spans="1:4" ht="24.75" customHeight="1">
      <c r="A848" s="3" t="str">
        <f>"34892021110316582240987"</f>
        <v>34892021110316582240987</v>
      </c>
      <c r="B848" s="3" t="s">
        <v>428</v>
      </c>
      <c r="C848" s="3" t="str">
        <f>"王求丽"</f>
        <v>王求丽</v>
      </c>
      <c r="D848" s="3" t="s">
        <v>813</v>
      </c>
    </row>
    <row r="849" spans="1:4" ht="24.75" customHeight="1">
      <c r="A849" s="3" t="str">
        <f>"34892021110317003041008"</f>
        <v>34892021110317003041008</v>
      </c>
      <c r="B849" s="3" t="s">
        <v>428</v>
      </c>
      <c r="C849" s="3" t="str">
        <f>"王宁"</f>
        <v>王宁</v>
      </c>
      <c r="D849" s="3" t="s">
        <v>814</v>
      </c>
    </row>
    <row r="850" spans="1:4" ht="24.75" customHeight="1">
      <c r="A850" s="3" t="str">
        <f>"34892021110317022241014"</f>
        <v>34892021110317022241014</v>
      </c>
      <c r="B850" s="3" t="s">
        <v>428</v>
      </c>
      <c r="C850" s="3" t="str">
        <f>"林健"</f>
        <v>林健</v>
      </c>
      <c r="D850" s="3" t="s">
        <v>815</v>
      </c>
    </row>
    <row r="851" spans="1:4" ht="24.75" customHeight="1">
      <c r="A851" s="3" t="str">
        <f>"34892021110317054141038"</f>
        <v>34892021110317054141038</v>
      </c>
      <c r="B851" s="3" t="s">
        <v>428</v>
      </c>
      <c r="C851" s="3" t="str">
        <f>"孙子静"</f>
        <v>孙子静</v>
      </c>
      <c r="D851" s="3" t="s">
        <v>816</v>
      </c>
    </row>
    <row r="852" spans="1:4" ht="24.75" customHeight="1">
      <c r="A852" s="3" t="str">
        <f>"34892021110317055941040"</f>
        <v>34892021110317055941040</v>
      </c>
      <c r="B852" s="3" t="s">
        <v>428</v>
      </c>
      <c r="C852" s="3" t="str">
        <f>"郭晓冉"</f>
        <v>郭晓冉</v>
      </c>
      <c r="D852" s="3" t="s">
        <v>817</v>
      </c>
    </row>
    <row r="853" spans="1:4" ht="24.75" customHeight="1">
      <c r="A853" s="3" t="str">
        <f>"34892021110317060541042"</f>
        <v>34892021110317060541042</v>
      </c>
      <c r="B853" s="3" t="s">
        <v>428</v>
      </c>
      <c r="C853" s="3" t="str">
        <f>"邝才林"</f>
        <v>邝才林</v>
      </c>
      <c r="D853" s="3" t="s">
        <v>818</v>
      </c>
    </row>
    <row r="854" spans="1:4" ht="24.75" customHeight="1">
      <c r="A854" s="3" t="str">
        <f>"34892021110317085641055"</f>
        <v>34892021110317085641055</v>
      </c>
      <c r="B854" s="3" t="s">
        <v>428</v>
      </c>
      <c r="C854" s="3" t="str">
        <f>"钟秋霞"</f>
        <v>钟秋霞</v>
      </c>
      <c r="D854" s="3" t="s">
        <v>819</v>
      </c>
    </row>
    <row r="855" spans="1:4" ht="24.75" customHeight="1">
      <c r="A855" s="3" t="str">
        <f>"34892021110317085841056"</f>
        <v>34892021110317085841056</v>
      </c>
      <c r="B855" s="3" t="s">
        <v>428</v>
      </c>
      <c r="C855" s="3" t="str">
        <f>"杨泽健"</f>
        <v>杨泽健</v>
      </c>
      <c r="D855" s="3" t="s">
        <v>820</v>
      </c>
    </row>
    <row r="856" spans="1:4" ht="24.75" customHeight="1">
      <c r="A856" s="3" t="str">
        <f>"34892021110317102241061"</f>
        <v>34892021110317102241061</v>
      </c>
      <c r="B856" s="3" t="s">
        <v>428</v>
      </c>
      <c r="C856" s="3" t="str">
        <f>"吴亚琴"</f>
        <v>吴亚琴</v>
      </c>
      <c r="D856" s="3" t="s">
        <v>821</v>
      </c>
    </row>
    <row r="857" spans="1:4" ht="24.75" customHeight="1">
      <c r="A857" s="3" t="str">
        <f>"34892021110317135241080"</f>
        <v>34892021110317135241080</v>
      </c>
      <c r="B857" s="3" t="s">
        <v>428</v>
      </c>
      <c r="C857" s="3" t="str">
        <f>"沈翔宇"</f>
        <v>沈翔宇</v>
      </c>
      <c r="D857" s="3" t="s">
        <v>822</v>
      </c>
    </row>
    <row r="858" spans="1:4" ht="24.75" customHeight="1">
      <c r="A858" s="3" t="str">
        <f>"34892021110317162341096"</f>
        <v>34892021110317162341096</v>
      </c>
      <c r="B858" s="3" t="s">
        <v>428</v>
      </c>
      <c r="C858" s="3" t="str">
        <f>"陈玲"</f>
        <v>陈玲</v>
      </c>
      <c r="D858" s="3" t="s">
        <v>823</v>
      </c>
    </row>
    <row r="859" spans="1:4" ht="24.75" customHeight="1">
      <c r="A859" s="3" t="str">
        <f>"34892021110317174541102"</f>
        <v>34892021110317174541102</v>
      </c>
      <c r="B859" s="3" t="s">
        <v>428</v>
      </c>
      <c r="C859" s="3" t="str">
        <f>"黄文静"</f>
        <v>黄文静</v>
      </c>
      <c r="D859" s="3" t="s">
        <v>824</v>
      </c>
    </row>
    <row r="860" spans="1:4" ht="24.75" customHeight="1">
      <c r="A860" s="3" t="str">
        <f>"34892021110317180341104"</f>
        <v>34892021110317180341104</v>
      </c>
      <c r="B860" s="3" t="s">
        <v>428</v>
      </c>
      <c r="C860" s="3" t="str">
        <f>"林鸿艳"</f>
        <v>林鸿艳</v>
      </c>
      <c r="D860" s="3" t="s">
        <v>825</v>
      </c>
    </row>
    <row r="861" spans="1:4" ht="24.75" customHeight="1">
      <c r="A861" s="3" t="str">
        <f>"34892021110317183041107"</f>
        <v>34892021110317183041107</v>
      </c>
      <c r="B861" s="3" t="s">
        <v>428</v>
      </c>
      <c r="C861" s="3" t="str">
        <f>"王定全"</f>
        <v>王定全</v>
      </c>
      <c r="D861" s="3" t="s">
        <v>826</v>
      </c>
    </row>
    <row r="862" spans="1:4" ht="24.75" customHeight="1">
      <c r="A862" s="3" t="str">
        <f>"34892021110317211741124"</f>
        <v>34892021110317211741124</v>
      </c>
      <c r="B862" s="3" t="s">
        <v>428</v>
      </c>
      <c r="C862" s="3" t="str">
        <f>"盛高进"</f>
        <v>盛高进</v>
      </c>
      <c r="D862" s="3" t="s">
        <v>827</v>
      </c>
    </row>
    <row r="863" spans="1:4" ht="24.75" customHeight="1">
      <c r="A863" s="3" t="str">
        <f>"34892021110317213841126"</f>
        <v>34892021110317213841126</v>
      </c>
      <c r="B863" s="3" t="s">
        <v>428</v>
      </c>
      <c r="C863" s="3" t="str">
        <f>"王才锺"</f>
        <v>王才锺</v>
      </c>
      <c r="D863" s="3" t="s">
        <v>828</v>
      </c>
    </row>
    <row r="864" spans="1:4" ht="24.75" customHeight="1">
      <c r="A864" s="3" t="str">
        <f>"34892021110317303541163"</f>
        <v>34892021110317303541163</v>
      </c>
      <c r="B864" s="3" t="s">
        <v>428</v>
      </c>
      <c r="C864" s="3" t="str">
        <f>"麦名毫"</f>
        <v>麦名毫</v>
      </c>
      <c r="D864" s="3" t="s">
        <v>829</v>
      </c>
    </row>
    <row r="865" spans="1:4" ht="24.75" customHeight="1">
      <c r="A865" s="3" t="str">
        <f>"34892021110317325641172"</f>
        <v>34892021110317325641172</v>
      </c>
      <c r="B865" s="3" t="s">
        <v>428</v>
      </c>
      <c r="C865" s="3" t="str">
        <f>"黄芬"</f>
        <v>黄芬</v>
      </c>
      <c r="D865" s="3" t="s">
        <v>830</v>
      </c>
    </row>
    <row r="866" spans="1:4" ht="24.75" customHeight="1">
      <c r="A866" s="3" t="str">
        <f>"34892021110317371341187"</f>
        <v>34892021110317371341187</v>
      </c>
      <c r="B866" s="3" t="s">
        <v>428</v>
      </c>
      <c r="C866" s="3" t="str">
        <f>"王丽文"</f>
        <v>王丽文</v>
      </c>
      <c r="D866" s="3" t="s">
        <v>831</v>
      </c>
    </row>
    <row r="867" spans="1:4" ht="24.75" customHeight="1">
      <c r="A867" s="3" t="str">
        <f>"34892021110317390841191"</f>
        <v>34892021110317390841191</v>
      </c>
      <c r="B867" s="3" t="s">
        <v>428</v>
      </c>
      <c r="C867" s="3" t="str">
        <f>"张艳"</f>
        <v>张艳</v>
      </c>
      <c r="D867" s="3" t="s">
        <v>832</v>
      </c>
    </row>
    <row r="868" spans="1:4" ht="24.75" customHeight="1">
      <c r="A868" s="3" t="str">
        <f>"34892021110317394341196"</f>
        <v>34892021110317394341196</v>
      </c>
      <c r="B868" s="3" t="s">
        <v>428</v>
      </c>
      <c r="C868" s="3" t="str">
        <f>"陈理弛"</f>
        <v>陈理弛</v>
      </c>
      <c r="D868" s="3" t="s">
        <v>833</v>
      </c>
    </row>
    <row r="869" spans="1:4" ht="24.75" customHeight="1">
      <c r="A869" s="3" t="str">
        <f>"34892021110317432741207"</f>
        <v>34892021110317432741207</v>
      </c>
      <c r="B869" s="3" t="s">
        <v>428</v>
      </c>
      <c r="C869" s="3" t="str">
        <f>"黄华楠"</f>
        <v>黄华楠</v>
      </c>
      <c r="D869" s="3" t="s">
        <v>834</v>
      </c>
    </row>
    <row r="870" spans="1:4" ht="24.75" customHeight="1">
      <c r="A870" s="3" t="str">
        <f>"34892021110317432841208"</f>
        <v>34892021110317432841208</v>
      </c>
      <c r="B870" s="3" t="s">
        <v>428</v>
      </c>
      <c r="C870" s="3" t="str">
        <f>"符倩"</f>
        <v>符倩</v>
      </c>
      <c r="D870" s="3" t="s">
        <v>835</v>
      </c>
    </row>
    <row r="871" spans="1:4" ht="24.75" customHeight="1">
      <c r="A871" s="3" t="str">
        <f>"34892021110317444441211"</f>
        <v>34892021110317444441211</v>
      </c>
      <c r="B871" s="3" t="s">
        <v>428</v>
      </c>
      <c r="C871" s="3" t="str">
        <f>"汪玉苗"</f>
        <v>汪玉苗</v>
      </c>
      <c r="D871" s="3" t="s">
        <v>566</v>
      </c>
    </row>
    <row r="872" spans="1:4" ht="24.75" customHeight="1">
      <c r="A872" s="3" t="str">
        <f>"34892021110317452841213"</f>
        <v>34892021110317452841213</v>
      </c>
      <c r="B872" s="3" t="s">
        <v>428</v>
      </c>
      <c r="C872" s="3" t="str">
        <f>"王玉"</f>
        <v>王玉</v>
      </c>
      <c r="D872" s="3" t="s">
        <v>836</v>
      </c>
    </row>
    <row r="873" spans="1:4" ht="24.75" customHeight="1">
      <c r="A873" s="3" t="str">
        <f>"34892021110317475841220"</f>
        <v>34892021110317475841220</v>
      </c>
      <c r="B873" s="3" t="s">
        <v>428</v>
      </c>
      <c r="C873" s="3" t="str">
        <f>"黄治英"</f>
        <v>黄治英</v>
      </c>
      <c r="D873" s="3" t="s">
        <v>837</v>
      </c>
    </row>
    <row r="874" spans="1:4" ht="24.75" customHeight="1">
      <c r="A874" s="3" t="str">
        <f>"34892021110317491441221"</f>
        <v>34892021110317491441221</v>
      </c>
      <c r="B874" s="3" t="s">
        <v>428</v>
      </c>
      <c r="C874" s="3" t="str">
        <f>"王庸照"</f>
        <v>王庸照</v>
      </c>
      <c r="D874" s="3" t="s">
        <v>838</v>
      </c>
    </row>
    <row r="875" spans="1:4" ht="24.75" customHeight="1">
      <c r="A875" s="3" t="str">
        <f>"34892021110317501941222"</f>
        <v>34892021110317501941222</v>
      </c>
      <c r="B875" s="3" t="s">
        <v>428</v>
      </c>
      <c r="C875" s="3" t="str">
        <f>"张其发"</f>
        <v>张其发</v>
      </c>
      <c r="D875" s="3" t="s">
        <v>839</v>
      </c>
    </row>
    <row r="876" spans="1:4" ht="24.75" customHeight="1">
      <c r="A876" s="3" t="str">
        <f>"34892021110317521341227"</f>
        <v>34892021110317521341227</v>
      </c>
      <c r="B876" s="3" t="s">
        <v>428</v>
      </c>
      <c r="C876" s="3" t="str">
        <f>"吴泽权"</f>
        <v>吴泽权</v>
      </c>
      <c r="D876" s="3" t="s">
        <v>840</v>
      </c>
    </row>
    <row r="877" spans="1:4" ht="24.75" customHeight="1">
      <c r="A877" s="3" t="str">
        <f>"34892021110317522441228"</f>
        <v>34892021110317522441228</v>
      </c>
      <c r="B877" s="3" t="s">
        <v>428</v>
      </c>
      <c r="C877" s="3" t="str">
        <f>"符抒静"</f>
        <v>符抒静</v>
      </c>
      <c r="D877" s="3" t="s">
        <v>841</v>
      </c>
    </row>
    <row r="878" spans="1:4" ht="24.75" customHeight="1">
      <c r="A878" s="3" t="str">
        <f>"34892021110317574841240"</f>
        <v>34892021110317574841240</v>
      </c>
      <c r="B878" s="3" t="s">
        <v>428</v>
      </c>
      <c r="C878" s="3" t="str">
        <f>"李林飞"</f>
        <v>李林飞</v>
      </c>
      <c r="D878" s="3" t="s">
        <v>842</v>
      </c>
    </row>
    <row r="879" spans="1:4" ht="24.75" customHeight="1">
      <c r="A879" s="3" t="str">
        <f>"34892021110318021141247"</f>
        <v>34892021110318021141247</v>
      </c>
      <c r="B879" s="3" t="s">
        <v>428</v>
      </c>
      <c r="C879" s="3" t="str">
        <f>"王杰昌"</f>
        <v>王杰昌</v>
      </c>
      <c r="D879" s="3" t="s">
        <v>843</v>
      </c>
    </row>
    <row r="880" spans="1:4" ht="24.75" customHeight="1">
      <c r="A880" s="3" t="str">
        <f>"34892021110318044741251"</f>
        <v>34892021110318044741251</v>
      </c>
      <c r="B880" s="3" t="s">
        <v>428</v>
      </c>
      <c r="C880" s="3" t="str">
        <f>"陈怡冰"</f>
        <v>陈怡冰</v>
      </c>
      <c r="D880" s="3" t="s">
        <v>844</v>
      </c>
    </row>
    <row r="881" spans="1:4" ht="24.75" customHeight="1">
      <c r="A881" s="3" t="str">
        <f>"34892021110318072841257"</f>
        <v>34892021110318072841257</v>
      </c>
      <c r="B881" s="3" t="s">
        <v>428</v>
      </c>
      <c r="C881" s="3" t="str">
        <f>"符玲惠"</f>
        <v>符玲惠</v>
      </c>
      <c r="D881" s="3" t="s">
        <v>845</v>
      </c>
    </row>
    <row r="882" spans="1:4" ht="24.75" customHeight="1">
      <c r="A882" s="3" t="str">
        <f>"34892021110318082041258"</f>
        <v>34892021110318082041258</v>
      </c>
      <c r="B882" s="3" t="s">
        <v>428</v>
      </c>
      <c r="C882" s="3" t="str">
        <f>"蒙仪"</f>
        <v>蒙仪</v>
      </c>
      <c r="D882" s="3" t="s">
        <v>846</v>
      </c>
    </row>
    <row r="883" spans="1:4" ht="24.75" customHeight="1">
      <c r="A883" s="3" t="str">
        <f>"34892021110318093141263"</f>
        <v>34892021110318093141263</v>
      </c>
      <c r="B883" s="3" t="s">
        <v>428</v>
      </c>
      <c r="C883" s="3" t="str">
        <f>"郭凤杉"</f>
        <v>郭凤杉</v>
      </c>
      <c r="D883" s="3" t="s">
        <v>847</v>
      </c>
    </row>
    <row r="884" spans="1:4" ht="24.75" customHeight="1">
      <c r="A884" s="3" t="str">
        <f>"34892021110318093941264"</f>
        <v>34892021110318093941264</v>
      </c>
      <c r="B884" s="3" t="s">
        <v>428</v>
      </c>
      <c r="C884" s="3" t="str">
        <f>"黄埔均"</f>
        <v>黄埔均</v>
      </c>
      <c r="D884" s="3" t="s">
        <v>848</v>
      </c>
    </row>
    <row r="885" spans="1:4" ht="24.75" customHeight="1">
      <c r="A885" s="3" t="str">
        <f>"34892021110318132541273"</f>
        <v>34892021110318132541273</v>
      </c>
      <c r="B885" s="3" t="s">
        <v>428</v>
      </c>
      <c r="C885" s="3" t="str">
        <f>"王超"</f>
        <v>王超</v>
      </c>
      <c r="D885" s="3" t="s">
        <v>849</v>
      </c>
    </row>
    <row r="886" spans="1:4" ht="24.75" customHeight="1">
      <c r="A886" s="3" t="str">
        <f>"34892021110318133441274"</f>
        <v>34892021110318133441274</v>
      </c>
      <c r="B886" s="3" t="s">
        <v>428</v>
      </c>
      <c r="C886" s="3" t="str">
        <f>"黄达鸣"</f>
        <v>黄达鸣</v>
      </c>
      <c r="D886" s="3" t="s">
        <v>850</v>
      </c>
    </row>
    <row r="887" spans="1:4" ht="24.75" customHeight="1">
      <c r="A887" s="3" t="str">
        <f>"34892021110318134541275"</f>
        <v>34892021110318134541275</v>
      </c>
      <c r="B887" s="3" t="s">
        <v>428</v>
      </c>
      <c r="C887" s="3" t="str">
        <f>"刘瑾"</f>
        <v>刘瑾</v>
      </c>
      <c r="D887" s="3" t="s">
        <v>851</v>
      </c>
    </row>
    <row r="888" spans="1:4" ht="24.75" customHeight="1">
      <c r="A888" s="3" t="str">
        <f>"34892021110318143441278"</f>
        <v>34892021110318143441278</v>
      </c>
      <c r="B888" s="3" t="s">
        <v>428</v>
      </c>
      <c r="C888" s="3" t="str">
        <f>"罗惠文"</f>
        <v>罗惠文</v>
      </c>
      <c r="D888" s="3" t="s">
        <v>852</v>
      </c>
    </row>
    <row r="889" spans="1:4" ht="24.75" customHeight="1">
      <c r="A889" s="3" t="str">
        <f>"34892021110318144141280"</f>
        <v>34892021110318144141280</v>
      </c>
      <c r="B889" s="3" t="s">
        <v>428</v>
      </c>
      <c r="C889" s="3" t="str">
        <f>"李凤珍"</f>
        <v>李凤珍</v>
      </c>
      <c r="D889" s="3" t="s">
        <v>853</v>
      </c>
    </row>
    <row r="890" spans="1:4" ht="24.75" customHeight="1">
      <c r="A890" s="3" t="str">
        <f>"34892021110318201041289"</f>
        <v>34892021110318201041289</v>
      </c>
      <c r="B890" s="3" t="s">
        <v>428</v>
      </c>
      <c r="C890" s="3" t="str">
        <f>"王莉莉"</f>
        <v>王莉莉</v>
      </c>
      <c r="D890" s="3" t="s">
        <v>854</v>
      </c>
    </row>
    <row r="891" spans="1:4" ht="24.75" customHeight="1">
      <c r="A891" s="3" t="str">
        <f>"34892021110318215941293"</f>
        <v>34892021110318215941293</v>
      </c>
      <c r="B891" s="3" t="s">
        <v>428</v>
      </c>
      <c r="C891" s="3" t="str">
        <f>"陈泰锎"</f>
        <v>陈泰锎</v>
      </c>
      <c r="D891" s="3" t="s">
        <v>855</v>
      </c>
    </row>
    <row r="892" spans="1:4" ht="24.75" customHeight="1">
      <c r="A892" s="3" t="str">
        <f>"34892021110318224441294"</f>
        <v>34892021110318224441294</v>
      </c>
      <c r="B892" s="3" t="s">
        <v>428</v>
      </c>
      <c r="C892" s="3" t="str">
        <f>"郭贵龙"</f>
        <v>郭贵龙</v>
      </c>
      <c r="D892" s="3" t="s">
        <v>856</v>
      </c>
    </row>
    <row r="893" spans="1:4" ht="24.75" customHeight="1">
      <c r="A893" s="3" t="str">
        <f>"34892021110318292641311"</f>
        <v>34892021110318292641311</v>
      </c>
      <c r="B893" s="3" t="s">
        <v>428</v>
      </c>
      <c r="C893" s="3" t="str">
        <f>"王业生"</f>
        <v>王业生</v>
      </c>
      <c r="D893" s="3" t="s">
        <v>857</v>
      </c>
    </row>
    <row r="894" spans="1:4" ht="24.75" customHeight="1">
      <c r="A894" s="3" t="str">
        <f>"34892021110318321141320"</f>
        <v>34892021110318321141320</v>
      </c>
      <c r="B894" s="3" t="s">
        <v>428</v>
      </c>
      <c r="C894" s="3" t="str">
        <f>"杨燕槐"</f>
        <v>杨燕槐</v>
      </c>
      <c r="D894" s="3" t="s">
        <v>858</v>
      </c>
    </row>
    <row r="895" spans="1:4" ht="24.75" customHeight="1">
      <c r="A895" s="3" t="str">
        <f>"34892021110318333541323"</f>
        <v>34892021110318333541323</v>
      </c>
      <c r="B895" s="3" t="s">
        <v>428</v>
      </c>
      <c r="C895" s="3" t="str">
        <f>"卢嘉祺"</f>
        <v>卢嘉祺</v>
      </c>
      <c r="D895" s="3" t="s">
        <v>859</v>
      </c>
    </row>
    <row r="896" spans="1:4" ht="24.75" customHeight="1">
      <c r="A896" s="3" t="str">
        <f>"34892021110318364441328"</f>
        <v>34892021110318364441328</v>
      </c>
      <c r="B896" s="3" t="s">
        <v>428</v>
      </c>
      <c r="C896" s="3" t="str">
        <f>"吴玉强"</f>
        <v>吴玉强</v>
      </c>
      <c r="D896" s="3" t="s">
        <v>860</v>
      </c>
    </row>
    <row r="897" spans="1:4" ht="24.75" customHeight="1">
      <c r="A897" s="3" t="str">
        <f>"34892021110318381241330"</f>
        <v>34892021110318381241330</v>
      </c>
      <c r="B897" s="3" t="s">
        <v>428</v>
      </c>
      <c r="C897" s="3" t="str">
        <f>"邢维泉"</f>
        <v>邢维泉</v>
      </c>
      <c r="D897" s="3" t="s">
        <v>861</v>
      </c>
    </row>
    <row r="898" spans="1:4" ht="24.75" customHeight="1">
      <c r="A898" s="3" t="str">
        <f>"34892021110318392841336"</f>
        <v>34892021110318392841336</v>
      </c>
      <c r="B898" s="3" t="s">
        <v>428</v>
      </c>
      <c r="C898" s="3" t="str">
        <f>"吴崇铭"</f>
        <v>吴崇铭</v>
      </c>
      <c r="D898" s="3" t="s">
        <v>862</v>
      </c>
    </row>
    <row r="899" spans="1:4" ht="24.75" customHeight="1">
      <c r="A899" s="3" t="str">
        <f>"34892021110318402141339"</f>
        <v>34892021110318402141339</v>
      </c>
      <c r="B899" s="3" t="s">
        <v>428</v>
      </c>
      <c r="C899" s="3" t="str">
        <f>"殷长敏"</f>
        <v>殷长敏</v>
      </c>
      <c r="D899" s="3" t="s">
        <v>863</v>
      </c>
    </row>
    <row r="900" spans="1:4" ht="24.75" customHeight="1">
      <c r="A900" s="3" t="str">
        <f>"34892021110318433341341"</f>
        <v>34892021110318433341341</v>
      </c>
      <c r="B900" s="3" t="s">
        <v>428</v>
      </c>
      <c r="C900" s="3" t="str">
        <f>"陈小卉"</f>
        <v>陈小卉</v>
      </c>
      <c r="D900" s="3" t="s">
        <v>864</v>
      </c>
    </row>
    <row r="901" spans="1:4" ht="24.75" customHeight="1">
      <c r="A901" s="3" t="str">
        <f>"34892021110318435541345"</f>
        <v>34892021110318435541345</v>
      </c>
      <c r="B901" s="3" t="s">
        <v>428</v>
      </c>
      <c r="C901" s="3" t="str">
        <f>"陈珮"</f>
        <v>陈珮</v>
      </c>
      <c r="D901" s="3" t="s">
        <v>865</v>
      </c>
    </row>
    <row r="902" spans="1:4" ht="24.75" customHeight="1">
      <c r="A902" s="3" t="str">
        <f>"34892021110318454241348"</f>
        <v>34892021110318454241348</v>
      </c>
      <c r="B902" s="3" t="s">
        <v>428</v>
      </c>
      <c r="C902" s="3" t="str">
        <f>"王惠娇"</f>
        <v>王惠娇</v>
      </c>
      <c r="D902" s="3" t="s">
        <v>803</v>
      </c>
    </row>
    <row r="903" spans="1:4" ht="24.75" customHeight="1">
      <c r="A903" s="3" t="str">
        <f>"34892021110318480641351"</f>
        <v>34892021110318480641351</v>
      </c>
      <c r="B903" s="3" t="s">
        <v>428</v>
      </c>
      <c r="C903" s="3" t="str">
        <f>"王小银"</f>
        <v>王小银</v>
      </c>
      <c r="D903" s="3" t="s">
        <v>866</v>
      </c>
    </row>
    <row r="904" spans="1:4" ht="24.75" customHeight="1">
      <c r="A904" s="3" t="str">
        <f>"34892021110318510841357"</f>
        <v>34892021110318510841357</v>
      </c>
      <c r="B904" s="3" t="s">
        <v>428</v>
      </c>
      <c r="C904" s="3" t="str">
        <f>"卞在燕"</f>
        <v>卞在燕</v>
      </c>
      <c r="D904" s="3" t="s">
        <v>867</v>
      </c>
    </row>
    <row r="905" spans="1:4" ht="24.75" customHeight="1">
      <c r="A905" s="3" t="str">
        <f>"34892021110318535741365"</f>
        <v>34892021110318535741365</v>
      </c>
      <c r="B905" s="3" t="s">
        <v>428</v>
      </c>
      <c r="C905" s="3" t="str">
        <f>"陈美霖"</f>
        <v>陈美霖</v>
      </c>
      <c r="D905" s="3" t="s">
        <v>868</v>
      </c>
    </row>
    <row r="906" spans="1:4" ht="24.75" customHeight="1">
      <c r="A906" s="3" t="str">
        <f>"34892021110318550041366"</f>
        <v>34892021110318550041366</v>
      </c>
      <c r="B906" s="3" t="s">
        <v>428</v>
      </c>
      <c r="C906" s="3" t="str">
        <f>"刘博宇"</f>
        <v>刘博宇</v>
      </c>
      <c r="D906" s="3" t="s">
        <v>869</v>
      </c>
    </row>
    <row r="907" spans="1:4" ht="24.75" customHeight="1">
      <c r="A907" s="3" t="str">
        <f>"34892021110318562941370"</f>
        <v>34892021110318562941370</v>
      </c>
      <c r="B907" s="3" t="s">
        <v>428</v>
      </c>
      <c r="C907" s="3" t="str">
        <f>"张佩华"</f>
        <v>张佩华</v>
      </c>
      <c r="D907" s="3" t="s">
        <v>870</v>
      </c>
    </row>
    <row r="908" spans="1:4" ht="24.75" customHeight="1">
      <c r="A908" s="3" t="str">
        <f>"34892021110318564741372"</f>
        <v>34892021110318564741372</v>
      </c>
      <c r="B908" s="3" t="s">
        <v>428</v>
      </c>
      <c r="C908" s="3" t="str">
        <f>"吴秀秀"</f>
        <v>吴秀秀</v>
      </c>
      <c r="D908" s="3" t="s">
        <v>871</v>
      </c>
    </row>
    <row r="909" spans="1:4" ht="24.75" customHeight="1">
      <c r="A909" s="3" t="str">
        <f>"34892021110318584341375"</f>
        <v>34892021110318584341375</v>
      </c>
      <c r="B909" s="3" t="s">
        <v>428</v>
      </c>
      <c r="C909" s="3" t="str">
        <f>"陈珊珊"</f>
        <v>陈珊珊</v>
      </c>
      <c r="D909" s="3" t="s">
        <v>872</v>
      </c>
    </row>
    <row r="910" spans="1:4" ht="24.75" customHeight="1">
      <c r="A910" s="3" t="str">
        <f>"34892021110319022341385"</f>
        <v>34892021110319022341385</v>
      </c>
      <c r="B910" s="3" t="s">
        <v>428</v>
      </c>
      <c r="C910" s="3" t="str">
        <f>"李瑞喜"</f>
        <v>李瑞喜</v>
      </c>
      <c r="D910" s="3" t="s">
        <v>873</v>
      </c>
    </row>
    <row r="911" spans="1:4" ht="24.75" customHeight="1">
      <c r="A911" s="3" t="str">
        <f>"34892021110319110241395"</f>
        <v>34892021110319110241395</v>
      </c>
      <c r="B911" s="3" t="s">
        <v>428</v>
      </c>
      <c r="C911" s="3" t="str">
        <f>"林杰曼"</f>
        <v>林杰曼</v>
      </c>
      <c r="D911" s="3" t="s">
        <v>874</v>
      </c>
    </row>
    <row r="912" spans="1:4" ht="24.75" customHeight="1">
      <c r="A912" s="3" t="str">
        <f>"34892021110319114841400"</f>
        <v>34892021110319114841400</v>
      </c>
      <c r="B912" s="3" t="s">
        <v>428</v>
      </c>
      <c r="C912" s="3" t="str">
        <f>"吴祖望"</f>
        <v>吴祖望</v>
      </c>
      <c r="D912" s="3" t="s">
        <v>875</v>
      </c>
    </row>
    <row r="913" spans="1:4" ht="24.75" customHeight="1">
      <c r="A913" s="3" t="str">
        <f>"34892021110319145141401"</f>
        <v>34892021110319145141401</v>
      </c>
      <c r="B913" s="3" t="s">
        <v>428</v>
      </c>
      <c r="C913" s="3" t="str">
        <f>"梁正慧"</f>
        <v>梁正慧</v>
      </c>
      <c r="D913" s="3" t="s">
        <v>356</v>
      </c>
    </row>
    <row r="914" spans="1:4" ht="24.75" customHeight="1">
      <c r="A914" s="3" t="str">
        <f>"34892021110319155441405"</f>
        <v>34892021110319155441405</v>
      </c>
      <c r="B914" s="3" t="s">
        <v>428</v>
      </c>
      <c r="C914" s="3" t="str">
        <f>"王毅"</f>
        <v>王毅</v>
      </c>
      <c r="D914" s="3" t="s">
        <v>876</v>
      </c>
    </row>
    <row r="915" spans="1:4" ht="24.75" customHeight="1">
      <c r="A915" s="3" t="str">
        <f>"34892021110319191041413"</f>
        <v>34892021110319191041413</v>
      </c>
      <c r="B915" s="3" t="s">
        <v>428</v>
      </c>
      <c r="C915" s="3" t="str">
        <f>"郑海波"</f>
        <v>郑海波</v>
      </c>
      <c r="D915" s="3" t="s">
        <v>877</v>
      </c>
    </row>
    <row r="916" spans="1:4" ht="24.75" customHeight="1">
      <c r="A916" s="3" t="str">
        <f>"34892021110319203241416"</f>
        <v>34892021110319203241416</v>
      </c>
      <c r="B916" s="3" t="s">
        <v>428</v>
      </c>
      <c r="C916" s="3" t="str">
        <f>"刘峪岑"</f>
        <v>刘峪岑</v>
      </c>
      <c r="D916" s="3" t="s">
        <v>878</v>
      </c>
    </row>
    <row r="917" spans="1:4" ht="24.75" customHeight="1">
      <c r="A917" s="3" t="str">
        <f>"34892021110319231141428"</f>
        <v>34892021110319231141428</v>
      </c>
      <c r="B917" s="3" t="s">
        <v>428</v>
      </c>
      <c r="C917" s="3" t="str">
        <f>"岑望子"</f>
        <v>岑望子</v>
      </c>
      <c r="D917" s="3" t="s">
        <v>879</v>
      </c>
    </row>
    <row r="918" spans="1:4" ht="24.75" customHeight="1">
      <c r="A918" s="3" t="str">
        <f>"34892021110319233641430"</f>
        <v>34892021110319233641430</v>
      </c>
      <c r="B918" s="3" t="s">
        <v>428</v>
      </c>
      <c r="C918" s="3" t="str">
        <f>"陈兴源"</f>
        <v>陈兴源</v>
      </c>
      <c r="D918" s="3" t="s">
        <v>880</v>
      </c>
    </row>
    <row r="919" spans="1:4" ht="24.75" customHeight="1">
      <c r="A919" s="3" t="str">
        <f>"34892021110319245141432"</f>
        <v>34892021110319245141432</v>
      </c>
      <c r="B919" s="3" t="s">
        <v>428</v>
      </c>
      <c r="C919" s="3" t="str">
        <f>"潘朝翔"</f>
        <v>潘朝翔</v>
      </c>
      <c r="D919" s="3" t="s">
        <v>881</v>
      </c>
    </row>
    <row r="920" spans="1:4" ht="24.75" customHeight="1">
      <c r="A920" s="3" t="str">
        <f>"34892021110319270141443"</f>
        <v>34892021110319270141443</v>
      </c>
      <c r="B920" s="3" t="s">
        <v>428</v>
      </c>
      <c r="C920" s="3" t="str">
        <f>"王盛洪"</f>
        <v>王盛洪</v>
      </c>
      <c r="D920" s="3" t="s">
        <v>882</v>
      </c>
    </row>
    <row r="921" spans="1:4" ht="24.75" customHeight="1">
      <c r="A921" s="3" t="str">
        <f>"34892021110319284441445"</f>
        <v>34892021110319284441445</v>
      </c>
      <c r="B921" s="3" t="s">
        <v>428</v>
      </c>
      <c r="C921" s="3" t="str">
        <f>"王英伶"</f>
        <v>王英伶</v>
      </c>
      <c r="D921" s="3" t="s">
        <v>883</v>
      </c>
    </row>
    <row r="922" spans="1:4" ht="24.75" customHeight="1">
      <c r="A922" s="3" t="str">
        <f>"34892021110319284441448"</f>
        <v>34892021110319284441448</v>
      </c>
      <c r="B922" s="3" t="s">
        <v>428</v>
      </c>
      <c r="C922" s="3" t="str">
        <f>"孙令伟"</f>
        <v>孙令伟</v>
      </c>
      <c r="D922" s="3" t="s">
        <v>884</v>
      </c>
    </row>
    <row r="923" spans="1:4" ht="24.75" customHeight="1">
      <c r="A923" s="3" t="str">
        <f>"34892021110319304241451"</f>
        <v>34892021110319304241451</v>
      </c>
      <c r="B923" s="3" t="s">
        <v>428</v>
      </c>
      <c r="C923" s="3" t="str">
        <f>"盛皓然"</f>
        <v>盛皓然</v>
      </c>
      <c r="D923" s="3" t="s">
        <v>885</v>
      </c>
    </row>
    <row r="924" spans="1:4" ht="24.75" customHeight="1">
      <c r="A924" s="3" t="str">
        <f>"34892021110319400141475"</f>
        <v>34892021110319400141475</v>
      </c>
      <c r="B924" s="3" t="s">
        <v>428</v>
      </c>
      <c r="C924" s="3" t="str">
        <f>"王小玉"</f>
        <v>王小玉</v>
      </c>
      <c r="D924" s="3" t="s">
        <v>886</v>
      </c>
    </row>
    <row r="925" spans="1:4" ht="24.75" customHeight="1">
      <c r="A925" s="3" t="str">
        <f>"34892021110319401441478"</f>
        <v>34892021110319401441478</v>
      </c>
      <c r="B925" s="3" t="s">
        <v>428</v>
      </c>
      <c r="C925" s="3" t="str">
        <f>"朱乙琳"</f>
        <v>朱乙琳</v>
      </c>
      <c r="D925" s="3" t="s">
        <v>887</v>
      </c>
    </row>
    <row r="926" spans="1:4" ht="24.75" customHeight="1">
      <c r="A926" s="3" t="str">
        <f>"34892021110319461941492"</f>
        <v>34892021110319461941492</v>
      </c>
      <c r="B926" s="3" t="s">
        <v>428</v>
      </c>
      <c r="C926" s="3" t="str">
        <f>"滕泽欣"</f>
        <v>滕泽欣</v>
      </c>
      <c r="D926" s="3" t="s">
        <v>888</v>
      </c>
    </row>
    <row r="927" spans="1:4" ht="24.75" customHeight="1">
      <c r="A927" s="3" t="str">
        <f>"34892021110319471341496"</f>
        <v>34892021110319471341496</v>
      </c>
      <c r="B927" s="3" t="s">
        <v>428</v>
      </c>
      <c r="C927" s="3" t="str">
        <f>"张放"</f>
        <v>张放</v>
      </c>
      <c r="D927" s="3" t="s">
        <v>889</v>
      </c>
    </row>
    <row r="928" spans="1:4" ht="24.75" customHeight="1">
      <c r="A928" s="3" t="str">
        <f>"34892021110319481141498"</f>
        <v>34892021110319481141498</v>
      </c>
      <c r="B928" s="3" t="s">
        <v>428</v>
      </c>
      <c r="C928" s="3" t="str">
        <f>"林光琤"</f>
        <v>林光琤</v>
      </c>
      <c r="D928" s="3" t="s">
        <v>890</v>
      </c>
    </row>
    <row r="929" spans="1:4" ht="24.75" customHeight="1">
      <c r="A929" s="3" t="str">
        <f>"34892021110319540541509"</f>
        <v>34892021110319540541509</v>
      </c>
      <c r="B929" s="3" t="s">
        <v>428</v>
      </c>
      <c r="C929" s="3" t="str">
        <f>"卓书鸿"</f>
        <v>卓书鸿</v>
      </c>
      <c r="D929" s="3" t="s">
        <v>891</v>
      </c>
    </row>
    <row r="930" spans="1:4" ht="24.75" customHeight="1">
      <c r="A930" s="3" t="str">
        <f>"34892021110319552141511"</f>
        <v>34892021110319552141511</v>
      </c>
      <c r="B930" s="3" t="s">
        <v>428</v>
      </c>
      <c r="C930" s="3" t="str">
        <f>"黄侨青"</f>
        <v>黄侨青</v>
      </c>
      <c r="D930" s="3" t="s">
        <v>892</v>
      </c>
    </row>
    <row r="931" spans="1:4" ht="24.75" customHeight="1">
      <c r="A931" s="3" t="str">
        <f>"34892021110319563441514"</f>
        <v>34892021110319563441514</v>
      </c>
      <c r="B931" s="3" t="s">
        <v>428</v>
      </c>
      <c r="C931" s="3" t="str">
        <f>"黄玉娴"</f>
        <v>黄玉娴</v>
      </c>
      <c r="D931" s="3" t="s">
        <v>893</v>
      </c>
    </row>
    <row r="932" spans="1:4" ht="24.75" customHeight="1">
      <c r="A932" s="3" t="str">
        <f>"34892021110319564341516"</f>
        <v>34892021110319564341516</v>
      </c>
      <c r="B932" s="3" t="s">
        <v>428</v>
      </c>
      <c r="C932" s="3" t="str">
        <f>"李名丁"</f>
        <v>李名丁</v>
      </c>
      <c r="D932" s="3" t="s">
        <v>894</v>
      </c>
    </row>
    <row r="933" spans="1:4" ht="24.75" customHeight="1">
      <c r="A933" s="3" t="str">
        <f>"34892021110319572841520"</f>
        <v>34892021110319572841520</v>
      </c>
      <c r="B933" s="3" t="s">
        <v>428</v>
      </c>
      <c r="C933" s="3" t="str">
        <f>"叶有铧"</f>
        <v>叶有铧</v>
      </c>
      <c r="D933" s="3" t="s">
        <v>895</v>
      </c>
    </row>
    <row r="934" spans="1:4" ht="24.75" customHeight="1">
      <c r="A934" s="3" t="str">
        <f>"34892021110319582141523"</f>
        <v>34892021110319582141523</v>
      </c>
      <c r="B934" s="3" t="s">
        <v>428</v>
      </c>
      <c r="C934" s="3" t="str">
        <f>"陈晓芬"</f>
        <v>陈晓芬</v>
      </c>
      <c r="D934" s="3" t="s">
        <v>785</v>
      </c>
    </row>
    <row r="935" spans="1:4" ht="24.75" customHeight="1">
      <c r="A935" s="3" t="str">
        <f>"34892021110319594741529"</f>
        <v>34892021110319594741529</v>
      </c>
      <c r="B935" s="3" t="s">
        <v>428</v>
      </c>
      <c r="C935" s="3" t="str">
        <f>"杨珊"</f>
        <v>杨珊</v>
      </c>
      <c r="D935" s="3" t="s">
        <v>896</v>
      </c>
    </row>
    <row r="936" spans="1:4" ht="24.75" customHeight="1">
      <c r="A936" s="3" t="str">
        <f>"34892021110320005041533"</f>
        <v>34892021110320005041533</v>
      </c>
      <c r="B936" s="3" t="s">
        <v>428</v>
      </c>
      <c r="C936" s="3" t="str">
        <f>"符倩倩"</f>
        <v>符倩倩</v>
      </c>
      <c r="D936" s="3" t="s">
        <v>897</v>
      </c>
    </row>
    <row r="937" spans="1:4" ht="24.75" customHeight="1">
      <c r="A937" s="3" t="str">
        <f>"34892021110320010641534"</f>
        <v>34892021110320010641534</v>
      </c>
      <c r="B937" s="3" t="s">
        <v>428</v>
      </c>
      <c r="C937" s="3" t="str">
        <f>"黄晓雪"</f>
        <v>黄晓雪</v>
      </c>
      <c r="D937" s="3" t="s">
        <v>682</v>
      </c>
    </row>
    <row r="938" spans="1:4" ht="24.75" customHeight="1">
      <c r="A938" s="3" t="str">
        <f>"34892021110320074641550"</f>
        <v>34892021110320074641550</v>
      </c>
      <c r="B938" s="3" t="s">
        <v>428</v>
      </c>
      <c r="C938" s="3" t="str">
        <f>"符小珍"</f>
        <v>符小珍</v>
      </c>
      <c r="D938" s="3" t="s">
        <v>898</v>
      </c>
    </row>
    <row r="939" spans="1:4" ht="24.75" customHeight="1">
      <c r="A939" s="3" t="str">
        <f>"34892021110320095441555"</f>
        <v>34892021110320095441555</v>
      </c>
      <c r="B939" s="3" t="s">
        <v>428</v>
      </c>
      <c r="C939" s="3" t="str">
        <f>"王凡"</f>
        <v>王凡</v>
      </c>
      <c r="D939" s="3" t="s">
        <v>899</v>
      </c>
    </row>
    <row r="940" spans="1:4" ht="24.75" customHeight="1">
      <c r="A940" s="3" t="str">
        <f>"34892021110320103641559"</f>
        <v>34892021110320103641559</v>
      </c>
      <c r="B940" s="3" t="s">
        <v>428</v>
      </c>
      <c r="C940" s="3" t="str">
        <f>"李相杰"</f>
        <v>李相杰</v>
      </c>
      <c r="D940" s="3" t="s">
        <v>900</v>
      </c>
    </row>
    <row r="941" spans="1:4" ht="24.75" customHeight="1">
      <c r="A941" s="3" t="str">
        <f>"34892021110320104241560"</f>
        <v>34892021110320104241560</v>
      </c>
      <c r="B941" s="3" t="s">
        <v>428</v>
      </c>
      <c r="C941" s="3" t="str">
        <f>"李实炜"</f>
        <v>李实炜</v>
      </c>
      <c r="D941" s="3" t="s">
        <v>901</v>
      </c>
    </row>
    <row r="942" spans="1:4" ht="24.75" customHeight="1">
      <c r="A942" s="3" t="str">
        <f>"34892021110320121941566"</f>
        <v>34892021110320121941566</v>
      </c>
      <c r="B942" s="3" t="s">
        <v>428</v>
      </c>
      <c r="C942" s="3" t="str">
        <f>"蔡亚玲"</f>
        <v>蔡亚玲</v>
      </c>
      <c r="D942" s="3" t="s">
        <v>902</v>
      </c>
    </row>
    <row r="943" spans="1:4" ht="24.75" customHeight="1">
      <c r="A943" s="3" t="str">
        <f>"34892021110320194041578"</f>
        <v>34892021110320194041578</v>
      </c>
      <c r="B943" s="3" t="s">
        <v>428</v>
      </c>
      <c r="C943" s="3" t="str">
        <f>"伊桦"</f>
        <v>伊桦</v>
      </c>
      <c r="D943" s="3" t="s">
        <v>903</v>
      </c>
    </row>
    <row r="944" spans="1:4" ht="24.75" customHeight="1">
      <c r="A944" s="3" t="str">
        <f>"34892021110320202541581"</f>
        <v>34892021110320202541581</v>
      </c>
      <c r="B944" s="3" t="s">
        <v>428</v>
      </c>
      <c r="C944" s="3" t="str">
        <f>"钟兴婉"</f>
        <v>钟兴婉</v>
      </c>
      <c r="D944" s="3" t="s">
        <v>904</v>
      </c>
    </row>
    <row r="945" spans="1:4" ht="24.75" customHeight="1">
      <c r="A945" s="3" t="str">
        <f>"34892021110320225641589"</f>
        <v>34892021110320225641589</v>
      </c>
      <c r="B945" s="3" t="s">
        <v>428</v>
      </c>
      <c r="C945" s="3" t="str">
        <f>"张运东"</f>
        <v>张运东</v>
      </c>
      <c r="D945" s="3" t="s">
        <v>905</v>
      </c>
    </row>
    <row r="946" spans="1:4" ht="24.75" customHeight="1">
      <c r="A946" s="3" t="str">
        <f>"34892021110320255141597"</f>
        <v>34892021110320255141597</v>
      </c>
      <c r="B946" s="3" t="s">
        <v>428</v>
      </c>
      <c r="C946" s="3" t="str">
        <f>"肖家贤"</f>
        <v>肖家贤</v>
      </c>
      <c r="D946" s="3" t="s">
        <v>906</v>
      </c>
    </row>
    <row r="947" spans="1:4" ht="24.75" customHeight="1">
      <c r="A947" s="3" t="str">
        <f>"34892021110320275941603"</f>
        <v>34892021110320275941603</v>
      </c>
      <c r="B947" s="3" t="s">
        <v>428</v>
      </c>
      <c r="C947" s="3" t="str">
        <f>"许创辉"</f>
        <v>许创辉</v>
      </c>
      <c r="D947" s="3" t="s">
        <v>907</v>
      </c>
    </row>
    <row r="948" spans="1:4" ht="24.75" customHeight="1">
      <c r="A948" s="3" t="str">
        <f>"34892021110320283641605"</f>
        <v>34892021110320283641605</v>
      </c>
      <c r="B948" s="3" t="s">
        <v>428</v>
      </c>
      <c r="C948" s="3" t="str">
        <f>"周巧南"</f>
        <v>周巧南</v>
      </c>
      <c r="D948" s="3" t="s">
        <v>908</v>
      </c>
    </row>
    <row r="949" spans="1:4" ht="24.75" customHeight="1">
      <c r="A949" s="3" t="str">
        <f>"34892021110320294041607"</f>
        <v>34892021110320294041607</v>
      </c>
      <c r="B949" s="3" t="s">
        <v>428</v>
      </c>
      <c r="C949" s="3" t="str">
        <f>"周宗海"</f>
        <v>周宗海</v>
      </c>
      <c r="D949" s="3" t="s">
        <v>909</v>
      </c>
    </row>
    <row r="950" spans="1:4" ht="24.75" customHeight="1">
      <c r="A950" s="3" t="str">
        <f>"34892021110320330441620"</f>
        <v>34892021110320330441620</v>
      </c>
      <c r="B950" s="3" t="s">
        <v>428</v>
      </c>
      <c r="C950" s="3" t="str">
        <f>"王转姑"</f>
        <v>王转姑</v>
      </c>
      <c r="D950" s="3" t="s">
        <v>910</v>
      </c>
    </row>
    <row r="951" spans="1:4" ht="24.75" customHeight="1">
      <c r="A951" s="3" t="str">
        <f>"34892021110320365841635"</f>
        <v>34892021110320365841635</v>
      </c>
      <c r="B951" s="3" t="s">
        <v>428</v>
      </c>
      <c r="C951" s="3" t="str">
        <f>"周冠良"</f>
        <v>周冠良</v>
      </c>
      <c r="D951" s="3" t="s">
        <v>911</v>
      </c>
    </row>
    <row r="952" spans="1:4" ht="24.75" customHeight="1">
      <c r="A952" s="3" t="str">
        <f>"34892021110320380641637"</f>
        <v>34892021110320380641637</v>
      </c>
      <c r="B952" s="3" t="s">
        <v>428</v>
      </c>
      <c r="C952" s="3" t="str">
        <f>"朱妙甜"</f>
        <v>朱妙甜</v>
      </c>
      <c r="D952" s="3" t="s">
        <v>912</v>
      </c>
    </row>
    <row r="953" spans="1:4" ht="24.75" customHeight="1">
      <c r="A953" s="3" t="str">
        <f>"34892021110320402541643"</f>
        <v>34892021110320402541643</v>
      </c>
      <c r="B953" s="3" t="s">
        <v>428</v>
      </c>
      <c r="C953" s="3" t="str">
        <f>"陈聪慧"</f>
        <v>陈聪慧</v>
      </c>
      <c r="D953" s="3" t="s">
        <v>913</v>
      </c>
    </row>
    <row r="954" spans="1:4" ht="24.75" customHeight="1">
      <c r="A954" s="3" t="str">
        <f>"34892021110320432041655"</f>
        <v>34892021110320432041655</v>
      </c>
      <c r="B954" s="3" t="s">
        <v>428</v>
      </c>
      <c r="C954" s="3" t="str">
        <f>"陈辉江"</f>
        <v>陈辉江</v>
      </c>
      <c r="D954" s="3" t="s">
        <v>914</v>
      </c>
    </row>
    <row r="955" spans="1:4" ht="24.75" customHeight="1">
      <c r="A955" s="3" t="str">
        <f>"34892021110320435741657"</f>
        <v>34892021110320435741657</v>
      </c>
      <c r="B955" s="3" t="s">
        <v>428</v>
      </c>
      <c r="C955" s="3" t="str">
        <f>"林松"</f>
        <v>林松</v>
      </c>
      <c r="D955" s="3" t="s">
        <v>915</v>
      </c>
    </row>
    <row r="956" spans="1:4" ht="24.75" customHeight="1">
      <c r="A956" s="3" t="str">
        <f>"34892021110320443741659"</f>
        <v>34892021110320443741659</v>
      </c>
      <c r="B956" s="3" t="s">
        <v>428</v>
      </c>
      <c r="C956" s="3" t="str">
        <f>"殷礼冲"</f>
        <v>殷礼冲</v>
      </c>
      <c r="D956" s="3" t="s">
        <v>916</v>
      </c>
    </row>
    <row r="957" spans="1:4" ht="24.75" customHeight="1">
      <c r="A957" s="3" t="str">
        <f>"34892021110320503441678"</f>
        <v>34892021110320503441678</v>
      </c>
      <c r="B957" s="3" t="s">
        <v>428</v>
      </c>
      <c r="C957" s="3" t="str">
        <f>"符蓉蓉"</f>
        <v>符蓉蓉</v>
      </c>
      <c r="D957" s="3" t="s">
        <v>917</v>
      </c>
    </row>
    <row r="958" spans="1:4" ht="24.75" customHeight="1">
      <c r="A958" s="3" t="str">
        <f>"34892021110320510041680"</f>
        <v>34892021110320510041680</v>
      </c>
      <c r="B958" s="3" t="s">
        <v>428</v>
      </c>
      <c r="C958" s="3" t="str">
        <f>"符艳丽"</f>
        <v>符艳丽</v>
      </c>
      <c r="D958" s="3" t="s">
        <v>918</v>
      </c>
    </row>
    <row r="959" spans="1:4" ht="24.75" customHeight="1">
      <c r="A959" s="3" t="str">
        <f>"34892021110320515041684"</f>
        <v>34892021110320515041684</v>
      </c>
      <c r="B959" s="3" t="s">
        <v>428</v>
      </c>
      <c r="C959" s="3" t="str">
        <f>"吉家欣"</f>
        <v>吉家欣</v>
      </c>
      <c r="D959" s="3" t="s">
        <v>919</v>
      </c>
    </row>
    <row r="960" spans="1:4" ht="24.75" customHeight="1">
      <c r="A960" s="3" t="str">
        <f>"34892021110320550941690"</f>
        <v>34892021110320550941690</v>
      </c>
      <c r="B960" s="3" t="s">
        <v>428</v>
      </c>
      <c r="C960" s="3" t="str">
        <f>"段红琳"</f>
        <v>段红琳</v>
      </c>
      <c r="D960" s="3" t="s">
        <v>920</v>
      </c>
    </row>
    <row r="961" spans="1:4" ht="24.75" customHeight="1">
      <c r="A961" s="3" t="str">
        <f>"34892021110320554741692"</f>
        <v>34892021110320554741692</v>
      </c>
      <c r="B961" s="3" t="s">
        <v>428</v>
      </c>
      <c r="C961" s="3" t="str">
        <f>"黄春芳"</f>
        <v>黄春芳</v>
      </c>
      <c r="D961" s="3" t="s">
        <v>921</v>
      </c>
    </row>
    <row r="962" spans="1:4" ht="24.75" customHeight="1">
      <c r="A962" s="3" t="str">
        <f>"34892021110320555741693"</f>
        <v>34892021110320555741693</v>
      </c>
      <c r="B962" s="3" t="s">
        <v>428</v>
      </c>
      <c r="C962" s="3" t="str">
        <f>"杨其眉"</f>
        <v>杨其眉</v>
      </c>
      <c r="D962" s="3" t="s">
        <v>922</v>
      </c>
    </row>
    <row r="963" spans="1:4" ht="24.75" customHeight="1">
      <c r="A963" s="3" t="str">
        <f>"34892021110320562241694"</f>
        <v>34892021110320562241694</v>
      </c>
      <c r="B963" s="3" t="s">
        <v>428</v>
      </c>
      <c r="C963" s="3" t="str">
        <f>"吴燕飞"</f>
        <v>吴燕飞</v>
      </c>
      <c r="D963" s="3" t="s">
        <v>923</v>
      </c>
    </row>
    <row r="964" spans="1:4" ht="24.75" customHeight="1">
      <c r="A964" s="3" t="str">
        <f>"34892021110320580541702"</f>
        <v>34892021110320580541702</v>
      </c>
      <c r="B964" s="3" t="s">
        <v>428</v>
      </c>
      <c r="C964" s="3" t="str">
        <f>"庄惠云"</f>
        <v>庄惠云</v>
      </c>
      <c r="D964" s="3" t="s">
        <v>924</v>
      </c>
    </row>
    <row r="965" spans="1:4" ht="24.75" customHeight="1">
      <c r="A965" s="3" t="str">
        <f>"34892021110320594441707"</f>
        <v>34892021110320594441707</v>
      </c>
      <c r="B965" s="3" t="s">
        <v>428</v>
      </c>
      <c r="C965" s="3" t="str">
        <f>"符素芳"</f>
        <v>符素芳</v>
      </c>
      <c r="D965" s="3" t="s">
        <v>925</v>
      </c>
    </row>
    <row r="966" spans="1:4" ht="24.75" customHeight="1">
      <c r="A966" s="3" t="str">
        <f>"34892021110321033141721"</f>
        <v>34892021110321033141721</v>
      </c>
      <c r="B966" s="3" t="s">
        <v>428</v>
      </c>
      <c r="C966" s="3" t="str">
        <f>"黎江"</f>
        <v>黎江</v>
      </c>
      <c r="D966" s="3" t="s">
        <v>926</v>
      </c>
    </row>
    <row r="967" spans="1:4" ht="24.75" customHeight="1">
      <c r="A967" s="3" t="str">
        <f>"34892021110321050341726"</f>
        <v>34892021110321050341726</v>
      </c>
      <c r="B967" s="3" t="s">
        <v>428</v>
      </c>
      <c r="C967" s="3" t="str">
        <f>"蔡小滨"</f>
        <v>蔡小滨</v>
      </c>
      <c r="D967" s="3" t="s">
        <v>927</v>
      </c>
    </row>
    <row r="968" spans="1:4" ht="24.75" customHeight="1">
      <c r="A968" s="3" t="str">
        <f>"34892021110321091741744"</f>
        <v>34892021110321091741744</v>
      </c>
      <c r="B968" s="3" t="s">
        <v>428</v>
      </c>
      <c r="C968" s="3" t="str">
        <f>"龙妍妍"</f>
        <v>龙妍妍</v>
      </c>
      <c r="D968" s="3" t="s">
        <v>928</v>
      </c>
    </row>
    <row r="969" spans="1:4" ht="24.75" customHeight="1">
      <c r="A969" s="3" t="str">
        <f>"34892021110321130741753"</f>
        <v>34892021110321130741753</v>
      </c>
      <c r="B969" s="3" t="s">
        <v>428</v>
      </c>
      <c r="C969" s="3" t="str">
        <f>"粱昌特"</f>
        <v>粱昌特</v>
      </c>
      <c r="D969" s="3" t="s">
        <v>929</v>
      </c>
    </row>
    <row r="970" spans="1:4" ht="24.75" customHeight="1">
      <c r="A970" s="3" t="str">
        <f>"34892021110321132041754"</f>
        <v>34892021110321132041754</v>
      </c>
      <c r="B970" s="3" t="s">
        <v>428</v>
      </c>
      <c r="C970" s="3" t="str">
        <f>"郑郑"</f>
        <v>郑郑</v>
      </c>
      <c r="D970" s="3" t="s">
        <v>930</v>
      </c>
    </row>
    <row r="971" spans="1:4" ht="24.75" customHeight="1">
      <c r="A971" s="3" t="str">
        <f>"34892021110321145741760"</f>
        <v>34892021110321145741760</v>
      </c>
      <c r="B971" s="3" t="s">
        <v>428</v>
      </c>
      <c r="C971" s="3" t="str">
        <f>"陈东湖"</f>
        <v>陈东湖</v>
      </c>
      <c r="D971" s="3" t="s">
        <v>931</v>
      </c>
    </row>
    <row r="972" spans="1:4" ht="24.75" customHeight="1">
      <c r="A972" s="3" t="str">
        <f>"34892021110321164941764"</f>
        <v>34892021110321164941764</v>
      </c>
      <c r="B972" s="3" t="s">
        <v>428</v>
      </c>
      <c r="C972" s="3" t="str">
        <f>"刘文生"</f>
        <v>刘文生</v>
      </c>
      <c r="D972" s="3" t="s">
        <v>932</v>
      </c>
    </row>
    <row r="973" spans="1:4" ht="24.75" customHeight="1">
      <c r="A973" s="3" t="str">
        <f>"34892021110321202141769"</f>
        <v>34892021110321202141769</v>
      </c>
      <c r="B973" s="3" t="s">
        <v>428</v>
      </c>
      <c r="C973" s="3" t="str">
        <f>"陈少英"</f>
        <v>陈少英</v>
      </c>
      <c r="D973" s="3" t="s">
        <v>544</v>
      </c>
    </row>
    <row r="974" spans="1:4" ht="24.75" customHeight="1">
      <c r="A974" s="3" t="str">
        <f>"34892021110321212541775"</f>
        <v>34892021110321212541775</v>
      </c>
      <c r="B974" s="3" t="s">
        <v>428</v>
      </c>
      <c r="C974" s="3" t="str">
        <f>"李华润"</f>
        <v>李华润</v>
      </c>
      <c r="D974" s="3" t="s">
        <v>933</v>
      </c>
    </row>
    <row r="975" spans="1:4" ht="24.75" customHeight="1">
      <c r="A975" s="3" t="str">
        <f>"34892021110321230641778"</f>
        <v>34892021110321230641778</v>
      </c>
      <c r="B975" s="3" t="s">
        <v>428</v>
      </c>
      <c r="C975" s="3" t="str">
        <f>"王川鸿"</f>
        <v>王川鸿</v>
      </c>
      <c r="D975" s="3" t="s">
        <v>307</v>
      </c>
    </row>
    <row r="976" spans="1:4" ht="24.75" customHeight="1">
      <c r="A976" s="3" t="str">
        <f>"34892021110321230941779"</f>
        <v>34892021110321230941779</v>
      </c>
      <c r="B976" s="3" t="s">
        <v>428</v>
      </c>
      <c r="C976" s="3" t="str">
        <f>"董开安"</f>
        <v>董开安</v>
      </c>
      <c r="D976" s="3" t="s">
        <v>421</v>
      </c>
    </row>
    <row r="977" spans="1:4" ht="24.75" customHeight="1">
      <c r="A977" s="3" t="str">
        <f>"34892021110321232041781"</f>
        <v>34892021110321232041781</v>
      </c>
      <c r="B977" s="3" t="s">
        <v>428</v>
      </c>
      <c r="C977" s="3" t="str">
        <f>"吴奕莹"</f>
        <v>吴奕莹</v>
      </c>
      <c r="D977" s="3" t="s">
        <v>934</v>
      </c>
    </row>
    <row r="978" spans="1:4" ht="24.75" customHeight="1">
      <c r="A978" s="3" t="str">
        <f>"34892021110321232841783"</f>
        <v>34892021110321232841783</v>
      </c>
      <c r="B978" s="3" t="s">
        <v>428</v>
      </c>
      <c r="C978" s="3" t="str">
        <f>"武艺元"</f>
        <v>武艺元</v>
      </c>
      <c r="D978" s="3" t="s">
        <v>935</v>
      </c>
    </row>
    <row r="979" spans="1:4" ht="24.75" customHeight="1">
      <c r="A979" s="3" t="str">
        <f>"34892021110321235141785"</f>
        <v>34892021110321235141785</v>
      </c>
      <c r="B979" s="3" t="s">
        <v>428</v>
      </c>
      <c r="C979" s="3" t="str">
        <f>"朱伯文"</f>
        <v>朱伯文</v>
      </c>
      <c r="D979" s="3" t="s">
        <v>936</v>
      </c>
    </row>
    <row r="980" spans="1:4" ht="24.75" customHeight="1">
      <c r="A980" s="3" t="str">
        <f>"34892021110321241141788"</f>
        <v>34892021110321241141788</v>
      </c>
      <c r="B980" s="3" t="s">
        <v>428</v>
      </c>
      <c r="C980" s="3" t="str">
        <f>"王道洲"</f>
        <v>王道洲</v>
      </c>
      <c r="D980" s="3" t="s">
        <v>937</v>
      </c>
    </row>
    <row r="981" spans="1:4" ht="24.75" customHeight="1">
      <c r="A981" s="3" t="str">
        <f>"34892021110321243941793"</f>
        <v>34892021110321243941793</v>
      </c>
      <c r="B981" s="3" t="s">
        <v>428</v>
      </c>
      <c r="C981" s="3" t="str">
        <f>"李润东"</f>
        <v>李润东</v>
      </c>
      <c r="D981" s="3" t="s">
        <v>938</v>
      </c>
    </row>
    <row r="982" spans="1:4" ht="24.75" customHeight="1">
      <c r="A982" s="3" t="str">
        <f>"34892021110321253841796"</f>
        <v>34892021110321253841796</v>
      </c>
      <c r="B982" s="3" t="s">
        <v>428</v>
      </c>
      <c r="C982" s="3" t="str">
        <f>"邓荣"</f>
        <v>邓荣</v>
      </c>
      <c r="D982" s="3" t="s">
        <v>939</v>
      </c>
    </row>
    <row r="983" spans="1:4" ht="24.75" customHeight="1">
      <c r="A983" s="3" t="str">
        <f>"34892021110321254241798"</f>
        <v>34892021110321254241798</v>
      </c>
      <c r="B983" s="3" t="s">
        <v>428</v>
      </c>
      <c r="C983" s="3" t="str">
        <f>"符干"</f>
        <v>符干</v>
      </c>
      <c r="D983" s="3" t="s">
        <v>940</v>
      </c>
    </row>
    <row r="984" spans="1:4" ht="24.75" customHeight="1">
      <c r="A984" s="3" t="str">
        <f>"34892021110321261441799"</f>
        <v>34892021110321261441799</v>
      </c>
      <c r="B984" s="3" t="s">
        <v>428</v>
      </c>
      <c r="C984" s="3" t="str">
        <f>"韦晓春"</f>
        <v>韦晓春</v>
      </c>
      <c r="D984" s="3" t="s">
        <v>941</v>
      </c>
    </row>
    <row r="985" spans="1:4" ht="24.75" customHeight="1">
      <c r="A985" s="3" t="str">
        <f>"34892021110321294141808"</f>
        <v>34892021110321294141808</v>
      </c>
      <c r="B985" s="3" t="s">
        <v>428</v>
      </c>
      <c r="C985" s="3" t="str">
        <f>"李志蕊"</f>
        <v>李志蕊</v>
      </c>
      <c r="D985" s="3" t="s">
        <v>942</v>
      </c>
    </row>
    <row r="986" spans="1:4" ht="24.75" customHeight="1">
      <c r="A986" s="3" t="str">
        <f>"34892021110321332841816"</f>
        <v>34892021110321332841816</v>
      </c>
      <c r="B986" s="3" t="s">
        <v>428</v>
      </c>
      <c r="C986" s="3" t="str">
        <f>"桂玲玲"</f>
        <v>桂玲玲</v>
      </c>
      <c r="D986" s="3" t="s">
        <v>943</v>
      </c>
    </row>
    <row r="987" spans="1:4" ht="24.75" customHeight="1">
      <c r="A987" s="3" t="str">
        <f>"34892021110321350341819"</f>
        <v>34892021110321350341819</v>
      </c>
      <c r="B987" s="3" t="s">
        <v>428</v>
      </c>
      <c r="C987" s="3" t="str">
        <f>"邓小微"</f>
        <v>邓小微</v>
      </c>
      <c r="D987" s="3" t="s">
        <v>944</v>
      </c>
    </row>
    <row r="988" spans="1:4" ht="24.75" customHeight="1">
      <c r="A988" s="3" t="str">
        <f>"34892021110321391741832"</f>
        <v>34892021110321391741832</v>
      </c>
      <c r="B988" s="3" t="s">
        <v>428</v>
      </c>
      <c r="C988" s="3" t="str">
        <f>"林楠"</f>
        <v>林楠</v>
      </c>
      <c r="D988" s="3" t="s">
        <v>945</v>
      </c>
    </row>
    <row r="989" spans="1:4" ht="24.75" customHeight="1">
      <c r="A989" s="3" t="str">
        <f>"34892021110321412941839"</f>
        <v>34892021110321412941839</v>
      </c>
      <c r="B989" s="3" t="s">
        <v>428</v>
      </c>
      <c r="C989" s="3" t="str">
        <f>"周邦勇"</f>
        <v>周邦勇</v>
      </c>
      <c r="D989" s="3" t="s">
        <v>946</v>
      </c>
    </row>
    <row r="990" spans="1:4" ht="24.75" customHeight="1">
      <c r="A990" s="3" t="str">
        <f>"34892021110321424641841"</f>
        <v>34892021110321424641841</v>
      </c>
      <c r="B990" s="3" t="s">
        <v>428</v>
      </c>
      <c r="C990" s="3" t="str">
        <f>"刘庄子"</f>
        <v>刘庄子</v>
      </c>
      <c r="D990" s="3" t="s">
        <v>947</v>
      </c>
    </row>
    <row r="991" spans="1:4" ht="24.75" customHeight="1">
      <c r="A991" s="3" t="str">
        <f>"34892021110321430341846"</f>
        <v>34892021110321430341846</v>
      </c>
      <c r="B991" s="3" t="s">
        <v>428</v>
      </c>
      <c r="C991" s="3" t="str">
        <f>"杨国正"</f>
        <v>杨国正</v>
      </c>
      <c r="D991" s="3" t="s">
        <v>948</v>
      </c>
    </row>
    <row r="992" spans="1:4" ht="24.75" customHeight="1">
      <c r="A992" s="3" t="str">
        <f>"34892021110321433041848"</f>
        <v>34892021110321433041848</v>
      </c>
      <c r="B992" s="3" t="s">
        <v>428</v>
      </c>
      <c r="C992" s="3" t="str">
        <f>"蔡泽翔"</f>
        <v>蔡泽翔</v>
      </c>
      <c r="D992" s="3" t="s">
        <v>949</v>
      </c>
    </row>
    <row r="993" spans="1:4" ht="24.75" customHeight="1">
      <c r="A993" s="3" t="str">
        <f>"34892021110321434941849"</f>
        <v>34892021110321434941849</v>
      </c>
      <c r="B993" s="3" t="s">
        <v>428</v>
      </c>
      <c r="C993" s="3" t="str">
        <f>"蔡慧"</f>
        <v>蔡慧</v>
      </c>
      <c r="D993" s="3" t="s">
        <v>950</v>
      </c>
    </row>
    <row r="994" spans="1:4" ht="24.75" customHeight="1">
      <c r="A994" s="3" t="str">
        <f>"34892021110321454241855"</f>
        <v>34892021110321454241855</v>
      </c>
      <c r="B994" s="3" t="s">
        <v>428</v>
      </c>
      <c r="C994" s="3" t="str">
        <f>"陈运智"</f>
        <v>陈运智</v>
      </c>
      <c r="D994" s="3" t="s">
        <v>951</v>
      </c>
    </row>
    <row r="995" spans="1:4" ht="24.75" customHeight="1">
      <c r="A995" s="3" t="str">
        <f>"34892021110321460541859"</f>
        <v>34892021110321460541859</v>
      </c>
      <c r="B995" s="3" t="s">
        <v>428</v>
      </c>
      <c r="C995" s="3" t="str">
        <f>"吴祖梁"</f>
        <v>吴祖梁</v>
      </c>
      <c r="D995" s="3" t="s">
        <v>952</v>
      </c>
    </row>
    <row r="996" spans="1:4" ht="24.75" customHeight="1">
      <c r="A996" s="3" t="str">
        <f>"34892021110321464441861"</f>
        <v>34892021110321464441861</v>
      </c>
      <c r="B996" s="3" t="s">
        <v>428</v>
      </c>
      <c r="C996" s="3" t="str">
        <f>"黄艳秋"</f>
        <v>黄艳秋</v>
      </c>
      <c r="D996" s="3" t="s">
        <v>953</v>
      </c>
    </row>
    <row r="997" spans="1:4" ht="24.75" customHeight="1">
      <c r="A997" s="3" t="str">
        <f>"34892021110321485541866"</f>
        <v>34892021110321485541866</v>
      </c>
      <c r="B997" s="3" t="s">
        <v>428</v>
      </c>
      <c r="C997" s="3" t="str">
        <f>"陈少珠"</f>
        <v>陈少珠</v>
      </c>
      <c r="D997" s="3" t="s">
        <v>954</v>
      </c>
    </row>
    <row r="998" spans="1:4" ht="24.75" customHeight="1">
      <c r="A998" s="3" t="str">
        <f>"34892021110321495241870"</f>
        <v>34892021110321495241870</v>
      </c>
      <c r="B998" s="3" t="s">
        <v>428</v>
      </c>
      <c r="C998" s="3" t="str">
        <f>"李益带"</f>
        <v>李益带</v>
      </c>
      <c r="D998" s="3" t="s">
        <v>955</v>
      </c>
    </row>
    <row r="999" spans="1:4" ht="24.75" customHeight="1">
      <c r="A999" s="3" t="str">
        <f>"34892021110321501841873"</f>
        <v>34892021110321501841873</v>
      </c>
      <c r="B999" s="3" t="s">
        <v>428</v>
      </c>
      <c r="C999" s="3" t="str">
        <f>"林鸿昌"</f>
        <v>林鸿昌</v>
      </c>
      <c r="D999" s="3" t="s">
        <v>956</v>
      </c>
    </row>
    <row r="1000" spans="1:4" ht="24.75" customHeight="1">
      <c r="A1000" s="3" t="str">
        <f>"34892021110321525341880"</f>
        <v>34892021110321525341880</v>
      </c>
      <c r="B1000" s="3" t="s">
        <v>428</v>
      </c>
      <c r="C1000" s="3" t="str">
        <f>"文秀泰"</f>
        <v>文秀泰</v>
      </c>
      <c r="D1000" s="3" t="s">
        <v>957</v>
      </c>
    </row>
    <row r="1001" spans="1:4" ht="24.75" customHeight="1">
      <c r="A1001" s="3" t="str">
        <f>"34892021110321552741889"</f>
        <v>34892021110321552741889</v>
      </c>
      <c r="B1001" s="3" t="s">
        <v>428</v>
      </c>
      <c r="C1001" s="3" t="str">
        <f>"蔡堂香"</f>
        <v>蔡堂香</v>
      </c>
      <c r="D1001" s="3" t="s">
        <v>958</v>
      </c>
    </row>
    <row r="1002" spans="1:4" ht="24.75" customHeight="1">
      <c r="A1002" s="3" t="str">
        <f>"34892021110321585741893"</f>
        <v>34892021110321585741893</v>
      </c>
      <c r="B1002" s="3" t="s">
        <v>428</v>
      </c>
      <c r="C1002" s="3" t="str">
        <f>"林泽玲"</f>
        <v>林泽玲</v>
      </c>
      <c r="D1002" s="3" t="s">
        <v>959</v>
      </c>
    </row>
    <row r="1003" spans="1:4" ht="24.75" customHeight="1">
      <c r="A1003" s="3" t="str">
        <f>"34892021110321593041896"</f>
        <v>34892021110321593041896</v>
      </c>
      <c r="B1003" s="3" t="s">
        <v>428</v>
      </c>
      <c r="C1003" s="3" t="str">
        <f>"林紫薇"</f>
        <v>林紫薇</v>
      </c>
      <c r="D1003" s="3" t="s">
        <v>960</v>
      </c>
    </row>
    <row r="1004" spans="1:4" ht="24.75" customHeight="1">
      <c r="A1004" s="3" t="str">
        <f>"34892021110321594141897"</f>
        <v>34892021110321594141897</v>
      </c>
      <c r="B1004" s="3" t="s">
        <v>428</v>
      </c>
      <c r="C1004" s="3" t="str">
        <f>"王哲培"</f>
        <v>王哲培</v>
      </c>
      <c r="D1004" s="3" t="s">
        <v>961</v>
      </c>
    </row>
    <row r="1005" spans="1:4" ht="24.75" customHeight="1">
      <c r="A1005" s="3" t="str">
        <f>"34892021110322025941904"</f>
        <v>34892021110322025941904</v>
      </c>
      <c r="B1005" s="3" t="s">
        <v>428</v>
      </c>
      <c r="C1005" s="3" t="str">
        <f>"黄位娇"</f>
        <v>黄位娇</v>
      </c>
      <c r="D1005" s="3" t="s">
        <v>962</v>
      </c>
    </row>
    <row r="1006" spans="1:4" ht="24.75" customHeight="1">
      <c r="A1006" s="3" t="str">
        <f>"34892021110322074341920"</f>
        <v>34892021110322074341920</v>
      </c>
      <c r="B1006" s="3" t="s">
        <v>428</v>
      </c>
      <c r="C1006" s="3" t="str">
        <f>"王海莲"</f>
        <v>王海莲</v>
      </c>
      <c r="D1006" s="3" t="s">
        <v>963</v>
      </c>
    </row>
    <row r="1007" spans="1:4" ht="24.75" customHeight="1">
      <c r="A1007" s="3" t="str">
        <f>"34892021110322093841926"</f>
        <v>34892021110322093841926</v>
      </c>
      <c r="B1007" s="3" t="s">
        <v>428</v>
      </c>
      <c r="C1007" s="3" t="str">
        <f>"王玉容"</f>
        <v>王玉容</v>
      </c>
      <c r="D1007" s="3" t="s">
        <v>964</v>
      </c>
    </row>
    <row r="1008" spans="1:4" ht="24.75" customHeight="1">
      <c r="A1008" s="3" t="str">
        <f>"34892021110322111441932"</f>
        <v>34892021110322111441932</v>
      </c>
      <c r="B1008" s="3" t="s">
        <v>428</v>
      </c>
      <c r="C1008" s="3" t="str">
        <f>"何春蓉"</f>
        <v>何春蓉</v>
      </c>
      <c r="D1008" s="3" t="s">
        <v>965</v>
      </c>
    </row>
    <row r="1009" spans="1:4" ht="24.75" customHeight="1">
      <c r="A1009" s="3" t="str">
        <f>"34892021110322152941941"</f>
        <v>34892021110322152941941</v>
      </c>
      <c r="B1009" s="3" t="s">
        <v>428</v>
      </c>
      <c r="C1009" s="3" t="str">
        <f>"吴源权"</f>
        <v>吴源权</v>
      </c>
      <c r="D1009" s="3" t="s">
        <v>966</v>
      </c>
    </row>
    <row r="1010" spans="1:4" ht="24.75" customHeight="1">
      <c r="A1010" s="3" t="str">
        <f>"34892021110322161441942"</f>
        <v>34892021110322161441942</v>
      </c>
      <c r="B1010" s="3" t="s">
        <v>428</v>
      </c>
      <c r="C1010" s="3" t="str">
        <f>"王诗皓"</f>
        <v>王诗皓</v>
      </c>
      <c r="D1010" s="3" t="s">
        <v>967</v>
      </c>
    </row>
    <row r="1011" spans="1:4" ht="24.75" customHeight="1">
      <c r="A1011" s="3" t="str">
        <f>"34892021110322173041946"</f>
        <v>34892021110322173041946</v>
      </c>
      <c r="B1011" s="3" t="s">
        <v>428</v>
      </c>
      <c r="C1011" s="3" t="str">
        <f>"罗新妮"</f>
        <v>罗新妮</v>
      </c>
      <c r="D1011" s="3" t="s">
        <v>968</v>
      </c>
    </row>
    <row r="1012" spans="1:4" ht="24.75" customHeight="1">
      <c r="A1012" s="3" t="str">
        <f>"34892021110322194841952"</f>
        <v>34892021110322194841952</v>
      </c>
      <c r="B1012" s="3" t="s">
        <v>428</v>
      </c>
      <c r="C1012" s="3" t="str">
        <f>"黄晖"</f>
        <v>黄晖</v>
      </c>
      <c r="D1012" s="3" t="s">
        <v>969</v>
      </c>
    </row>
    <row r="1013" spans="1:4" ht="24.75" customHeight="1">
      <c r="A1013" s="3" t="str">
        <f>"34892021110322205241956"</f>
        <v>34892021110322205241956</v>
      </c>
      <c r="B1013" s="3" t="s">
        <v>428</v>
      </c>
      <c r="C1013" s="3" t="str">
        <f>"王丹"</f>
        <v>王丹</v>
      </c>
      <c r="D1013" s="3" t="s">
        <v>970</v>
      </c>
    </row>
    <row r="1014" spans="1:4" ht="24.75" customHeight="1">
      <c r="A1014" s="3" t="str">
        <f>"34892021110322205441957"</f>
        <v>34892021110322205441957</v>
      </c>
      <c r="B1014" s="3" t="s">
        <v>428</v>
      </c>
      <c r="C1014" s="3" t="str">
        <f>"林云羽"</f>
        <v>林云羽</v>
      </c>
      <c r="D1014" s="3" t="s">
        <v>971</v>
      </c>
    </row>
    <row r="1015" spans="1:4" ht="24.75" customHeight="1">
      <c r="A1015" s="3" t="str">
        <f>"34892021110322235741966"</f>
        <v>34892021110322235741966</v>
      </c>
      <c r="B1015" s="3" t="s">
        <v>428</v>
      </c>
      <c r="C1015" s="3" t="str">
        <f>"陈莲妹"</f>
        <v>陈莲妹</v>
      </c>
      <c r="D1015" s="3" t="s">
        <v>972</v>
      </c>
    </row>
    <row r="1016" spans="1:4" ht="24.75" customHeight="1">
      <c r="A1016" s="3" t="str">
        <f>"34892021110322250541967"</f>
        <v>34892021110322250541967</v>
      </c>
      <c r="B1016" s="3" t="s">
        <v>428</v>
      </c>
      <c r="C1016" s="3" t="str">
        <f>"王大望"</f>
        <v>王大望</v>
      </c>
      <c r="D1016" s="3" t="s">
        <v>973</v>
      </c>
    </row>
    <row r="1017" spans="1:4" ht="24.75" customHeight="1">
      <c r="A1017" s="3" t="str">
        <f>"34892021110322251541968"</f>
        <v>34892021110322251541968</v>
      </c>
      <c r="B1017" s="3" t="s">
        <v>428</v>
      </c>
      <c r="C1017" s="3" t="str">
        <f>"林立湲"</f>
        <v>林立湲</v>
      </c>
      <c r="D1017" s="3" t="s">
        <v>974</v>
      </c>
    </row>
    <row r="1018" spans="1:4" ht="24.75" customHeight="1">
      <c r="A1018" s="3" t="str">
        <f>"34892021110322292441977"</f>
        <v>34892021110322292441977</v>
      </c>
      <c r="B1018" s="3" t="s">
        <v>428</v>
      </c>
      <c r="C1018" s="3" t="str">
        <f>"林享"</f>
        <v>林享</v>
      </c>
      <c r="D1018" s="3" t="s">
        <v>975</v>
      </c>
    </row>
    <row r="1019" spans="1:4" ht="24.75" customHeight="1">
      <c r="A1019" s="3" t="str">
        <f>"34892021110322295641982"</f>
        <v>34892021110322295641982</v>
      </c>
      <c r="B1019" s="3" t="s">
        <v>428</v>
      </c>
      <c r="C1019" s="3" t="str">
        <f>"李媛慧"</f>
        <v>李媛慧</v>
      </c>
      <c r="D1019" s="3" t="s">
        <v>976</v>
      </c>
    </row>
    <row r="1020" spans="1:4" ht="24.75" customHeight="1">
      <c r="A1020" s="3" t="str">
        <f>"34892021110322305941984"</f>
        <v>34892021110322305941984</v>
      </c>
      <c r="B1020" s="3" t="s">
        <v>428</v>
      </c>
      <c r="C1020" s="3" t="str">
        <f>"江美荣"</f>
        <v>江美荣</v>
      </c>
      <c r="D1020" s="3" t="s">
        <v>977</v>
      </c>
    </row>
    <row r="1021" spans="1:4" ht="24.75" customHeight="1">
      <c r="A1021" s="3" t="str">
        <f>"34892021110322311441985"</f>
        <v>34892021110322311441985</v>
      </c>
      <c r="B1021" s="3" t="s">
        <v>428</v>
      </c>
      <c r="C1021" s="3" t="str">
        <f>"黄荟燕"</f>
        <v>黄荟燕</v>
      </c>
      <c r="D1021" s="3" t="s">
        <v>978</v>
      </c>
    </row>
    <row r="1022" spans="1:4" ht="24.75" customHeight="1">
      <c r="A1022" s="3" t="str">
        <f>"34892021110322311841987"</f>
        <v>34892021110322311841987</v>
      </c>
      <c r="B1022" s="3" t="s">
        <v>428</v>
      </c>
      <c r="C1022" s="3" t="str">
        <f>"安纹洁"</f>
        <v>安纹洁</v>
      </c>
      <c r="D1022" s="3" t="s">
        <v>979</v>
      </c>
    </row>
    <row r="1023" spans="1:4" ht="24.75" customHeight="1">
      <c r="A1023" s="3" t="str">
        <f>"34892021110322312141989"</f>
        <v>34892021110322312141989</v>
      </c>
      <c r="B1023" s="3" t="s">
        <v>428</v>
      </c>
      <c r="C1023" s="3" t="str">
        <f>"胡适"</f>
        <v>胡适</v>
      </c>
      <c r="D1023" s="3" t="s">
        <v>980</v>
      </c>
    </row>
    <row r="1024" spans="1:4" ht="24.75" customHeight="1">
      <c r="A1024" s="3" t="str">
        <f>"34892021110322354242001"</f>
        <v>34892021110322354242001</v>
      </c>
      <c r="B1024" s="3" t="s">
        <v>428</v>
      </c>
      <c r="C1024" s="3" t="str">
        <f>"李雪转"</f>
        <v>李雪转</v>
      </c>
      <c r="D1024" s="3" t="s">
        <v>981</v>
      </c>
    </row>
    <row r="1025" spans="1:4" ht="24.75" customHeight="1">
      <c r="A1025" s="3" t="str">
        <f>"34892021110322364442007"</f>
        <v>34892021110322364442007</v>
      </c>
      <c r="B1025" s="3" t="s">
        <v>428</v>
      </c>
      <c r="C1025" s="3" t="str">
        <f>"卓小玥"</f>
        <v>卓小玥</v>
      </c>
      <c r="D1025" s="3" t="s">
        <v>982</v>
      </c>
    </row>
    <row r="1026" spans="1:4" ht="24.75" customHeight="1">
      <c r="A1026" s="3" t="str">
        <f>"34892021110322434142026"</f>
        <v>34892021110322434142026</v>
      </c>
      <c r="B1026" s="3" t="s">
        <v>428</v>
      </c>
      <c r="C1026" s="3" t="str">
        <f>"李芃欣"</f>
        <v>李芃欣</v>
      </c>
      <c r="D1026" s="3" t="s">
        <v>581</v>
      </c>
    </row>
    <row r="1027" spans="1:4" ht="24.75" customHeight="1">
      <c r="A1027" s="3" t="str">
        <f>"34892021110322435842027"</f>
        <v>34892021110322435842027</v>
      </c>
      <c r="B1027" s="3" t="s">
        <v>428</v>
      </c>
      <c r="C1027" s="3" t="str">
        <f>"莫绪钟"</f>
        <v>莫绪钟</v>
      </c>
      <c r="D1027" s="3" t="s">
        <v>983</v>
      </c>
    </row>
    <row r="1028" spans="1:4" ht="24.75" customHeight="1">
      <c r="A1028" s="3" t="str">
        <f>"34892021110322443642030"</f>
        <v>34892021110322443642030</v>
      </c>
      <c r="B1028" s="3" t="s">
        <v>428</v>
      </c>
      <c r="C1028" s="3" t="str">
        <f>"彭安媛"</f>
        <v>彭安媛</v>
      </c>
      <c r="D1028" s="3" t="s">
        <v>984</v>
      </c>
    </row>
    <row r="1029" spans="1:4" ht="24.75" customHeight="1">
      <c r="A1029" s="3" t="str">
        <f>"34892021110322445942031"</f>
        <v>34892021110322445942031</v>
      </c>
      <c r="B1029" s="3" t="s">
        <v>428</v>
      </c>
      <c r="C1029" s="3" t="str">
        <f>"冯元"</f>
        <v>冯元</v>
      </c>
      <c r="D1029" s="3" t="s">
        <v>985</v>
      </c>
    </row>
    <row r="1030" spans="1:4" ht="24.75" customHeight="1">
      <c r="A1030" s="3" t="str">
        <f>"34892021110322454842033"</f>
        <v>34892021110322454842033</v>
      </c>
      <c r="B1030" s="3" t="s">
        <v>428</v>
      </c>
      <c r="C1030" s="3" t="str">
        <f>"苏庆朴"</f>
        <v>苏庆朴</v>
      </c>
      <c r="D1030" s="3" t="s">
        <v>986</v>
      </c>
    </row>
    <row r="1031" spans="1:4" ht="24.75" customHeight="1">
      <c r="A1031" s="3" t="str">
        <f>"34892021110322541342055"</f>
        <v>34892021110322541342055</v>
      </c>
      <c r="B1031" s="3" t="s">
        <v>428</v>
      </c>
      <c r="C1031" s="3" t="str">
        <f>"邓力豪"</f>
        <v>邓力豪</v>
      </c>
      <c r="D1031" s="3" t="s">
        <v>987</v>
      </c>
    </row>
    <row r="1032" spans="1:4" ht="24.75" customHeight="1">
      <c r="A1032" s="3" t="str">
        <f>"34892021110322582842064"</f>
        <v>34892021110322582842064</v>
      </c>
      <c r="B1032" s="3" t="s">
        <v>428</v>
      </c>
      <c r="C1032" s="3" t="str">
        <f>"蔡灌清"</f>
        <v>蔡灌清</v>
      </c>
      <c r="D1032" s="3" t="s">
        <v>988</v>
      </c>
    </row>
    <row r="1033" spans="1:4" ht="24.75" customHeight="1">
      <c r="A1033" s="3" t="str">
        <f>"34892021110322583442065"</f>
        <v>34892021110322583442065</v>
      </c>
      <c r="B1033" s="3" t="s">
        <v>428</v>
      </c>
      <c r="C1033" s="3" t="str">
        <f>"朱治理"</f>
        <v>朱治理</v>
      </c>
      <c r="D1033" s="3" t="s">
        <v>989</v>
      </c>
    </row>
    <row r="1034" spans="1:4" ht="24.75" customHeight="1">
      <c r="A1034" s="3" t="str">
        <f>"34892021110322590442066"</f>
        <v>34892021110322590442066</v>
      </c>
      <c r="B1034" s="3" t="s">
        <v>428</v>
      </c>
      <c r="C1034" s="3" t="str">
        <f>"刘芷琳"</f>
        <v>刘芷琳</v>
      </c>
      <c r="D1034" s="3" t="s">
        <v>990</v>
      </c>
    </row>
    <row r="1035" spans="1:4" ht="24.75" customHeight="1">
      <c r="A1035" s="3" t="str">
        <f>"34892021110322592642068"</f>
        <v>34892021110322592642068</v>
      </c>
      <c r="B1035" s="3" t="s">
        <v>428</v>
      </c>
      <c r="C1035" s="3" t="str">
        <f>"符美美"</f>
        <v>符美美</v>
      </c>
      <c r="D1035" s="3" t="s">
        <v>991</v>
      </c>
    </row>
    <row r="1036" spans="1:4" ht="24.75" customHeight="1">
      <c r="A1036" s="3" t="str">
        <f>"34892021110323022642073"</f>
        <v>34892021110323022642073</v>
      </c>
      <c r="B1036" s="3" t="s">
        <v>428</v>
      </c>
      <c r="C1036" s="3" t="str">
        <f>"吴丽娇"</f>
        <v>吴丽娇</v>
      </c>
      <c r="D1036" s="3" t="s">
        <v>992</v>
      </c>
    </row>
    <row r="1037" spans="1:4" ht="24.75" customHeight="1">
      <c r="A1037" s="3" t="str">
        <f>"34892021110323052642079"</f>
        <v>34892021110323052642079</v>
      </c>
      <c r="B1037" s="3" t="s">
        <v>428</v>
      </c>
      <c r="C1037" s="3" t="str">
        <f>"李宗棠"</f>
        <v>李宗棠</v>
      </c>
      <c r="D1037" s="3" t="s">
        <v>993</v>
      </c>
    </row>
    <row r="1038" spans="1:4" ht="24.75" customHeight="1">
      <c r="A1038" s="3" t="str">
        <f>"34892021110323054442080"</f>
        <v>34892021110323054442080</v>
      </c>
      <c r="B1038" s="3" t="s">
        <v>428</v>
      </c>
      <c r="C1038" s="3" t="str">
        <f>"占雅婷"</f>
        <v>占雅婷</v>
      </c>
      <c r="D1038" s="3" t="s">
        <v>994</v>
      </c>
    </row>
    <row r="1039" spans="1:4" ht="24.75" customHeight="1">
      <c r="A1039" s="3" t="str">
        <f>"34892021110323064442083"</f>
        <v>34892021110323064442083</v>
      </c>
      <c r="B1039" s="3" t="s">
        <v>428</v>
      </c>
      <c r="C1039" s="3" t="str">
        <f>"张殿霞"</f>
        <v>张殿霞</v>
      </c>
      <c r="D1039" s="3" t="s">
        <v>995</v>
      </c>
    </row>
    <row r="1040" spans="1:4" ht="24.75" customHeight="1">
      <c r="A1040" s="3" t="str">
        <f>"34892021110323075942087"</f>
        <v>34892021110323075942087</v>
      </c>
      <c r="B1040" s="3" t="s">
        <v>428</v>
      </c>
      <c r="C1040" s="3" t="str">
        <f>"蔡亲梅"</f>
        <v>蔡亲梅</v>
      </c>
      <c r="D1040" s="3" t="s">
        <v>996</v>
      </c>
    </row>
    <row r="1041" spans="1:4" ht="24.75" customHeight="1">
      <c r="A1041" s="3" t="str">
        <f>"34892021110323091442089"</f>
        <v>34892021110323091442089</v>
      </c>
      <c r="B1041" s="3" t="s">
        <v>428</v>
      </c>
      <c r="C1041" s="3" t="str">
        <f>"何昌瑜"</f>
        <v>何昌瑜</v>
      </c>
      <c r="D1041" s="3" t="s">
        <v>997</v>
      </c>
    </row>
    <row r="1042" spans="1:4" ht="24.75" customHeight="1">
      <c r="A1042" s="3" t="str">
        <f>"34892021110323110642093"</f>
        <v>34892021110323110642093</v>
      </c>
      <c r="B1042" s="3" t="s">
        <v>428</v>
      </c>
      <c r="C1042" s="3" t="str">
        <f>"殷承辉"</f>
        <v>殷承辉</v>
      </c>
      <c r="D1042" s="3" t="s">
        <v>231</v>
      </c>
    </row>
    <row r="1043" spans="1:4" ht="24.75" customHeight="1">
      <c r="A1043" s="3" t="str">
        <f>"34892021110323141942095"</f>
        <v>34892021110323141942095</v>
      </c>
      <c r="B1043" s="3" t="s">
        <v>428</v>
      </c>
      <c r="C1043" s="3" t="str">
        <f>"王欣"</f>
        <v>王欣</v>
      </c>
      <c r="D1043" s="3" t="s">
        <v>998</v>
      </c>
    </row>
    <row r="1044" spans="1:4" ht="24.75" customHeight="1">
      <c r="A1044" s="3" t="str">
        <f>"34892021110323145042096"</f>
        <v>34892021110323145042096</v>
      </c>
      <c r="B1044" s="3" t="s">
        <v>428</v>
      </c>
      <c r="C1044" s="3" t="str">
        <f>"洪涛"</f>
        <v>洪涛</v>
      </c>
      <c r="D1044" s="3" t="s">
        <v>999</v>
      </c>
    </row>
    <row r="1045" spans="1:4" ht="24.75" customHeight="1">
      <c r="A1045" s="3" t="str">
        <f>"34892021110323152142098"</f>
        <v>34892021110323152142098</v>
      </c>
      <c r="B1045" s="3" t="s">
        <v>428</v>
      </c>
      <c r="C1045" s="3" t="str">
        <f>"符芳竞"</f>
        <v>符芳竞</v>
      </c>
      <c r="D1045" s="3" t="s">
        <v>1000</v>
      </c>
    </row>
    <row r="1046" spans="1:4" ht="24.75" customHeight="1">
      <c r="A1046" s="3" t="str">
        <f>"34892021110323163342099"</f>
        <v>34892021110323163342099</v>
      </c>
      <c r="B1046" s="3" t="s">
        <v>428</v>
      </c>
      <c r="C1046" s="3" t="str">
        <f>"裴名相"</f>
        <v>裴名相</v>
      </c>
      <c r="D1046" s="3" t="s">
        <v>1001</v>
      </c>
    </row>
    <row r="1047" spans="1:4" ht="24.75" customHeight="1">
      <c r="A1047" s="3" t="str">
        <f>"34892021110323183142101"</f>
        <v>34892021110323183142101</v>
      </c>
      <c r="B1047" s="3" t="s">
        <v>428</v>
      </c>
      <c r="C1047" s="3" t="str">
        <f>"吴毅"</f>
        <v>吴毅</v>
      </c>
      <c r="D1047" s="3" t="s">
        <v>1002</v>
      </c>
    </row>
    <row r="1048" spans="1:4" ht="24.75" customHeight="1">
      <c r="A1048" s="3" t="str">
        <f>"34892021110323252642110"</f>
        <v>34892021110323252642110</v>
      </c>
      <c r="B1048" s="3" t="s">
        <v>428</v>
      </c>
      <c r="C1048" s="3" t="str">
        <f>"郑彩文"</f>
        <v>郑彩文</v>
      </c>
      <c r="D1048" s="3" t="s">
        <v>1003</v>
      </c>
    </row>
    <row r="1049" spans="1:4" ht="24.75" customHeight="1">
      <c r="A1049" s="3" t="str">
        <f>"34892021110323274742113"</f>
        <v>34892021110323274742113</v>
      </c>
      <c r="B1049" s="3" t="s">
        <v>428</v>
      </c>
      <c r="C1049" s="3" t="str">
        <f>"黎壮"</f>
        <v>黎壮</v>
      </c>
      <c r="D1049" s="3" t="s">
        <v>1004</v>
      </c>
    </row>
    <row r="1050" spans="1:4" ht="24.75" customHeight="1">
      <c r="A1050" s="3" t="str">
        <f>"34892021110323290242116"</f>
        <v>34892021110323290242116</v>
      </c>
      <c r="B1050" s="3" t="s">
        <v>428</v>
      </c>
      <c r="C1050" s="3" t="str">
        <f>"陈忠龄"</f>
        <v>陈忠龄</v>
      </c>
      <c r="D1050" s="3" t="s">
        <v>1005</v>
      </c>
    </row>
    <row r="1051" spans="1:4" ht="24.75" customHeight="1">
      <c r="A1051" s="3" t="str">
        <f>"34892021110323291142117"</f>
        <v>34892021110323291142117</v>
      </c>
      <c r="B1051" s="3" t="s">
        <v>428</v>
      </c>
      <c r="C1051" s="3" t="str">
        <f>"陈燕茹"</f>
        <v>陈燕茹</v>
      </c>
      <c r="D1051" s="3" t="s">
        <v>1006</v>
      </c>
    </row>
    <row r="1052" spans="1:4" ht="24.75" customHeight="1">
      <c r="A1052" s="3" t="str">
        <f>"34892021110323300642119"</f>
        <v>34892021110323300642119</v>
      </c>
      <c r="B1052" s="3" t="s">
        <v>428</v>
      </c>
      <c r="C1052" s="3" t="str">
        <f>"胡玲"</f>
        <v>胡玲</v>
      </c>
      <c r="D1052" s="3" t="s">
        <v>1007</v>
      </c>
    </row>
    <row r="1053" spans="1:4" ht="24.75" customHeight="1">
      <c r="A1053" s="3" t="str">
        <f>"34892021110323313942121"</f>
        <v>34892021110323313942121</v>
      </c>
      <c r="B1053" s="3" t="s">
        <v>428</v>
      </c>
      <c r="C1053" s="3" t="str">
        <f>"林梦婷"</f>
        <v>林梦婷</v>
      </c>
      <c r="D1053" s="3" t="s">
        <v>554</v>
      </c>
    </row>
    <row r="1054" spans="1:4" ht="24.75" customHeight="1">
      <c r="A1054" s="3" t="str">
        <f>"34892021110323330442125"</f>
        <v>34892021110323330442125</v>
      </c>
      <c r="B1054" s="3" t="s">
        <v>428</v>
      </c>
      <c r="C1054" s="3" t="str">
        <f>"陈绵琛"</f>
        <v>陈绵琛</v>
      </c>
      <c r="D1054" s="3" t="s">
        <v>915</v>
      </c>
    </row>
    <row r="1055" spans="1:4" ht="24.75" customHeight="1">
      <c r="A1055" s="3" t="str">
        <f>"34892021110323340042127"</f>
        <v>34892021110323340042127</v>
      </c>
      <c r="B1055" s="3" t="s">
        <v>428</v>
      </c>
      <c r="C1055" s="3" t="str">
        <f>"王明虎"</f>
        <v>王明虎</v>
      </c>
      <c r="D1055" s="3" t="s">
        <v>1008</v>
      </c>
    </row>
    <row r="1056" spans="1:4" ht="24.75" customHeight="1">
      <c r="A1056" s="3" t="str">
        <f>"34892021110323345642131"</f>
        <v>34892021110323345642131</v>
      </c>
      <c r="B1056" s="3" t="s">
        <v>428</v>
      </c>
      <c r="C1056" s="3" t="str">
        <f>"张婉婷"</f>
        <v>张婉婷</v>
      </c>
      <c r="D1056" s="3" t="s">
        <v>1009</v>
      </c>
    </row>
    <row r="1057" spans="1:4" ht="24.75" customHeight="1">
      <c r="A1057" s="3" t="str">
        <f>"34892021110323354942133"</f>
        <v>34892021110323354942133</v>
      </c>
      <c r="B1057" s="3" t="s">
        <v>428</v>
      </c>
      <c r="C1057" s="3" t="str">
        <f>"王静"</f>
        <v>王静</v>
      </c>
      <c r="D1057" s="3" t="s">
        <v>1010</v>
      </c>
    </row>
    <row r="1058" spans="1:4" ht="24.75" customHeight="1">
      <c r="A1058" s="3" t="str">
        <f>"34892021110323384242137"</f>
        <v>34892021110323384242137</v>
      </c>
      <c r="B1058" s="3" t="s">
        <v>428</v>
      </c>
      <c r="C1058" s="3" t="str">
        <f>"陈雷"</f>
        <v>陈雷</v>
      </c>
      <c r="D1058" s="3" t="s">
        <v>1011</v>
      </c>
    </row>
    <row r="1059" spans="1:4" ht="24.75" customHeight="1">
      <c r="A1059" s="3" t="str">
        <f>"34892021110323444042145"</f>
        <v>34892021110323444042145</v>
      </c>
      <c r="B1059" s="3" t="s">
        <v>428</v>
      </c>
      <c r="C1059" s="3" t="str">
        <f>"王哲娜"</f>
        <v>王哲娜</v>
      </c>
      <c r="D1059" s="3" t="s">
        <v>1012</v>
      </c>
    </row>
    <row r="1060" spans="1:4" ht="24.75" customHeight="1">
      <c r="A1060" s="3" t="str">
        <f>"34892021110323470542148"</f>
        <v>34892021110323470542148</v>
      </c>
      <c r="B1060" s="3" t="s">
        <v>428</v>
      </c>
      <c r="C1060" s="3" t="str">
        <f>"陈飞"</f>
        <v>陈飞</v>
      </c>
      <c r="D1060" s="3" t="s">
        <v>1013</v>
      </c>
    </row>
    <row r="1061" spans="1:4" ht="24.75" customHeight="1">
      <c r="A1061" s="3" t="str">
        <f>"34892021110323474642150"</f>
        <v>34892021110323474642150</v>
      </c>
      <c r="B1061" s="3" t="s">
        <v>428</v>
      </c>
      <c r="C1061" s="3" t="str">
        <f>"朱芳泰"</f>
        <v>朱芳泰</v>
      </c>
      <c r="D1061" s="3" t="s">
        <v>1014</v>
      </c>
    </row>
    <row r="1062" spans="1:4" ht="24.75" customHeight="1">
      <c r="A1062" s="3" t="str">
        <f>"34892021110323510742156"</f>
        <v>34892021110323510742156</v>
      </c>
      <c r="B1062" s="3" t="s">
        <v>428</v>
      </c>
      <c r="C1062" s="3" t="str">
        <f>"庞炜"</f>
        <v>庞炜</v>
      </c>
      <c r="D1062" s="3" t="s">
        <v>474</v>
      </c>
    </row>
    <row r="1063" spans="1:4" ht="24.75" customHeight="1">
      <c r="A1063" s="3" t="str">
        <f>"34892021110323551642161"</f>
        <v>34892021110323551642161</v>
      </c>
      <c r="B1063" s="3" t="s">
        <v>428</v>
      </c>
      <c r="C1063" s="3" t="str">
        <f>"王积英"</f>
        <v>王积英</v>
      </c>
      <c r="D1063" s="3" t="s">
        <v>1015</v>
      </c>
    </row>
    <row r="1064" spans="1:4" ht="24.75" customHeight="1">
      <c r="A1064" s="3" t="str">
        <f>"34892021110323570642164"</f>
        <v>34892021110323570642164</v>
      </c>
      <c r="B1064" s="3" t="s">
        <v>428</v>
      </c>
      <c r="C1064" s="3" t="str">
        <f>"李鸿"</f>
        <v>李鸿</v>
      </c>
      <c r="D1064" s="3" t="s">
        <v>1016</v>
      </c>
    </row>
    <row r="1065" spans="1:4" ht="24.75" customHeight="1">
      <c r="A1065" s="3" t="str">
        <f>"34892021110400002742167"</f>
        <v>34892021110400002742167</v>
      </c>
      <c r="B1065" s="3" t="s">
        <v>428</v>
      </c>
      <c r="C1065" s="3" t="str">
        <f>"杨振宇"</f>
        <v>杨振宇</v>
      </c>
      <c r="D1065" s="3" t="s">
        <v>1017</v>
      </c>
    </row>
    <row r="1066" spans="1:4" ht="24.75" customHeight="1">
      <c r="A1066" s="3" t="str">
        <f>"34892021110400054542170"</f>
        <v>34892021110400054542170</v>
      </c>
      <c r="B1066" s="3" t="s">
        <v>428</v>
      </c>
      <c r="C1066" s="3" t="str">
        <f>"莫德学"</f>
        <v>莫德学</v>
      </c>
      <c r="D1066" s="3" t="s">
        <v>1018</v>
      </c>
    </row>
    <row r="1067" spans="1:4" ht="24.75" customHeight="1">
      <c r="A1067" s="3" t="str">
        <f>"34892021110400231142181"</f>
        <v>34892021110400231142181</v>
      </c>
      <c r="B1067" s="3" t="s">
        <v>428</v>
      </c>
      <c r="C1067" s="3" t="str">
        <f>"冯善茹"</f>
        <v>冯善茹</v>
      </c>
      <c r="D1067" s="3" t="s">
        <v>1019</v>
      </c>
    </row>
    <row r="1068" spans="1:4" ht="24.75" customHeight="1">
      <c r="A1068" s="3" t="str">
        <f>"34892021110400290142188"</f>
        <v>34892021110400290142188</v>
      </c>
      <c r="B1068" s="3" t="s">
        <v>428</v>
      </c>
      <c r="C1068" s="3" t="str">
        <f>"符玉秋"</f>
        <v>符玉秋</v>
      </c>
      <c r="D1068" s="3" t="s">
        <v>1020</v>
      </c>
    </row>
    <row r="1069" spans="1:4" ht="24.75" customHeight="1">
      <c r="A1069" s="3" t="str">
        <f>"34892021110400465742199"</f>
        <v>34892021110400465742199</v>
      </c>
      <c r="B1069" s="3" t="s">
        <v>428</v>
      </c>
      <c r="C1069" s="3" t="str">
        <f>"李瑄"</f>
        <v>李瑄</v>
      </c>
      <c r="D1069" s="3" t="s">
        <v>1021</v>
      </c>
    </row>
    <row r="1070" spans="1:4" ht="24.75" customHeight="1">
      <c r="A1070" s="3" t="str">
        <f>"34892021110400502942202"</f>
        <v>34892021110400502942202</v>
      </c>
      <c r="B1070" s="3" t="s">
        <v>428</v>
      </c>
      <c r="C1070" s="3" t="str">
        <f>"王遥"</f>
        <v>王遥</v>
      </c>
      <c r="D1070" s="3" t="s">
        <v>1022</v>
      </c>
    </row>
    <row r="1071" spans="1:4" ht="24.75" customHeight="1">
      <c r="A1071" s="3" t="str">
        <f>"34892021110400565442204"</f>
        <v>34892021110400565442204</v>
      </c>
      <c r="B1071" s="3" t="s">
        <v>428</v>
      </c>
      <c r="C1071" s="3" t="str">
        <f>"邓惠敏"</f>
        <v>邓惠敏</v>
      </c>
      <c r="D1071" s="3" t="s">
        <v>1023</v>
      </c>
    </row>
    <row r="1072" spans="1:4" ht="24.75" customHeight="1">
      <c r="A1072" s="3" t="str">
        <f>"34892021110401210842221"</f>
        <v>34892021110401210842221</v>
      </c>
      <c r="B1072" s="3" t="s">
        <v>428</v>
      </c>
      <c r="C1072" s="3" t="str">
        <f>"任雅男"</f>
        <v>任雅男</v>
      </c>
      <c r="D1072" s="3" t="s">
        <v>1024</v>
      </c>
    </row>
    <row r="1073" spans="1:4" ht="24.75" customHeight="1">
      <c r="A1073" s="3" t="str">
        <f>"34892021110401265742222"</f>
        <v>34892021110401265742222</v>
      </c>
      <c r="B1073" s="3" t="s">
        <v>428</v>
      </c>
      <c r="C1073" s="3" t="str">
        <f>"韩万强"</f>
        <v>韩万强</v>
      </c>
      <c r="D1073" s="3" t="s">
        <v>1025</v>
      </c>
    </row>
    <row r="1074" spans="1:4" ht="24.75" customHeight="1">
      <c r="A1074" s="3" t="str">
        <f>"34892021110401463842225"</f>
        <v>34892021110401463842225</v>
      </c>
      <c r="B1074" s="3" t="s">
        <v>428</v>
      </c>
      <c r="C1074" s="3" t="str">
        <f>"梁遗优"</f>
        <v>梁遗优</v>
      </c>
      <c r="D1074" s="3" t="s">
        <v>884</v>
      </c>
    </row>
    <row r="1075" spans="1:4" ht="24.75" customHeight="1">
      <c r="A1075" s="3" t="str">
        <f>"34892021110402025342229"</f>
        <v>34892021110402025342229</v>
      </c>
      <c r="B1075" s="3" t="s">
        <v>428</v>
      </c>
      <c r="C1075" s="3" t="str">
        <f>"黄贯咪"</f>
        <v>黄贯咪</v>
      </c>
      <c r="D1075" s="3" t="s">
        <v>1026</v>
      </c>
    </row>
    <row r="1076" spans="1:4" ht="24.75" customHeight="1">
      <c r="A1076" s="3" t="str">
        <f>"34892021110403382742234"</f>
        <v>34892021110403382742234</v>
      </c>
      <c r="B1076" s="3" t="s">
        <v>428</v>
      </c>
      <c r="C1076" s="3" t="str">
        <f>"王霜"</f>
        <v>王霜</v>
      </c>
      <c r="D1076" s="3" t="s">
        <v>590</v>
      </c>
    </row>
    <row r="1077" spans="1:4" ht="24.75" customHeight="1">
      <c r="A1077" s="3" t="str">
        <f>"34892021110403590442236"</f>
        <v>34892021110403590442236</v>
      </c>
      <c r="B1077" s="3" t="s">
        <v>428</v>
      </c>
      <c r="C1077" s="3" t="str">
        <f>"李挺东"</f>
        <v>李挺东</v>
      </c>
      <c r="D1077" s="3" t="s">
        <v>1027</v>
      </c>
    </row>
    <row r="1078" spans="1:4" ht="24.75" customHeight="1">
      <c r="A1078" s="3" t="str">
        <f>"34892021110406321042242"</f>
        <v>34892021110406321042242</v>
      </c>
      <c r="B1078" s="3" t="s">
        <v>428</v>
      </c>
      <c r="C1078" s="3" t="str">
        <f>"陈亚男"</f>
        <v>陈亚男</v>
      </c>
      <c r="D1078" s="3" t="s">
        <v>1028</v>
      </c>
    </row>
    <row r="1079" spans="1:4" ht="24.75" customHeight="1">
      <c r="A1079" s="3" t="str">
        <f>"34892021110408010442261"</f>
        <v>34892021110408010442261</v>
      </c>
      <c r="B1079" s="3" t="s">
        <v>428</v>
      </c>
      <c r="C1079" s="3" t="str">
        <f>"陈上丰"</f>
        <v>陈上丰</v>
      </c>
      <c r="D1079" s="3" t="s">
        <v>1029</v>
      </c>
    </row>
    <row r="1080" spans="1:4" ht="24.75" customHeight="1">
      <c r="A1080" s="3" t="str">
        <f>"34892021110408072842267"</f>
        <v>34892021110408072842267</v>
      </c>
      <c r="B1080" s="3" t="s">
        <v>428</v>
      </c>
      <c r="C1080" s="3" t="str">
        <f>"钱光耀"</f>
        <v>钱光耀</v>
      </c>
      <c r="D1080" s="3" t="s">
        <v>1030</v>
      </c>
    </row>
    <row r="1081" spans="1:4" ht="24.75" customHeight="1">
      <c r="A1081" s="3" t="str">
        <f>"34892021110408105542271"</f>
        <v>34892021110408105542271</v>
      </c>
      <c r="B1081" s="3" t="s">
        <v>428</v>
      </c>
      <c r="C1081" s="3" t="str">
        <f>"高伟"</f>
        <v>高伟</v>
      </c>
      <c r="D1081" s="3" t="s">
        <v>1031</v>
      </c>
    </row>
    <row r="1082" spans="1:4" ht="24.75" customHeight="1">
      <c r="A1082" s="3" t="str">
        <f>"34892021110408181742278"</f>
        <v>34892021110408181742278</v>
      </c>
      <c r="B1082" s="3" t="s">
        <v>428</v>
      </c>
      <c r="C1082" s="3" t="str">
        <f>"许小娟"</f>
        <v>许小娟</v>
      </c>
      <c r="D1082" s="3" t="s">
        <v>1032</v>
      </c>
    </row>
    <row r="1083" spans="1:4" ht="24.75" customHeight="1">
      <c r="A1083" s="3" t="str">
        <f>"34892021110408203742283"</f>
        <v>34892021110408203742283</v>
      </c>
      <c r="B1083" s="3" t="s">
        <v>428</v>
      </c>
      <c r="C1083" s="3" t="str">
        <f>"冯妃"</f>
        <v>冯妃</v>
      </c>
      <c r="D1083" s="3" t="s">
        <v>1033</v>
      </c>
    </row>
    <row r="1084" spans="1:4" ht="24.75" customHeight="1">
      <c r="A1084" s="3" t="str">
        <f>"34892021110408204442284"</f>
        <v>34892021110408204442284</v>
      </c>
      <c r="B1084" s="3" t="s">
        <v>428</v>
      </c>
      <c r="C1084" s="3" t="str">
        <f>"张才娟"</f>
        <v>张才娟</v>
      </c>
      <c r="D1084" s="3" t="s">
        <v>1034</v>
      </c>
    </row>
    <row r="1085" spans="1:4" ht="24.75" customHeight="1">
      <c r="A1085" s="3" t="str">
        <f>"34892021110408230442287"</f>
        <v>34892021110408230442287</v>
      </c>
      <c r="B1085" s="3" t="s">
        <v>428</v>
      </c>
      <c r="C1085" s="3" t="str">
        <f>"唐福丽"</f>
        <v>唐福丽</v>
      </c>
      <c r="D1085" s="3" t="s">
        <v>1035</v>
      </c>
    </row>
    <row r="1086" spans="1:4" ht="24.75" customHeight="1">
      <c r="A1086" s="3" t="str">
        <f>"34892021110408272342289"</f>
        <v>34892021110408272342289</v>
      </c>
      <c r="B1086" s="3" t="s">
        <v>428</v>
      </c>
      <c r="C1086" s="3" t="str">
        <f>"彭文昱"</f>
        <v>彭文昱</v>
      </c>
      <c r="D1086" s="3" t="s">
        <v>493</v>
      </c>
    </row>
    <row r="1087" spans="1:4" ht="24.75" customHeight="1">
      <c r="A1087" s="3" t="str">
        <f>"34892021110408275042293"</f>
        <v>34892021110408275042293</v>
      </c>
      <c r="B1087" s="3" t="s">
        <v>428</v>
      </c>
      <c r="C1087" s="3" t="str">
        <f>"曹旭"</f>
        <v>曹旭</v>
      </c>
      <c r="D1087" s="3" t="s">
        <v>1036</v>
      </c>
    </row>
    <row r="1088" spans="1:4" ht="24.75" customHeight="1">
      <c r="A1088" s="3" t="str">
        <f>"34892021110408282342296"</f>
        <v>34892021110408282342296</v>
      </c>
      <c r="B1088" s="3" t="s">
        <v>428</v>
      </c>
      <c r="C1088" s="3" t="str">
        <f>"刘警"</f>
        <v>刘警</v>
      </c>
      <c r="D1088" s="3" t="s">
        <v>1037</v>
      </c>
    </row>
    <row r="1089" spans="1:4" ht="24.75" customHeight="1">
      <c r="A1089" s="3" t="str">
        <f>"34892021110408290342297"</f>
        <v>34892021110408290342297</v>
      </c>
      <c r="B1089" s="3" t="s">
        <v>428</v>
      </c>
      <c r="C1089" s="3" t="str">
        <f>"梁海东"</f>
        <v>梁海东</v>
      </c>
      <c r="D1089" s="3" t="s">
        <v>1038</v>
      </c>
    </row>
    <row r="1090" spans="1:4" ht="24.75" customHeight="1">
      <c r="A1090" s="3" t="str">
        <f>"34892021110408323042302"</f>
        <v>34892021110408323042302</v>
      </c>
      <c r="B1090" s="3" t="s">
        <v>428</v>
      </c>
      <c r="C1090" s="3" t="str">
        <f>"王晓慧"</f>
        <v>王晓慧</v>
      </c>
      <c r="D1090" s="3" t="s">
        <v>1039</v>
      </c>
    </row>
    <row r="1091" spans="1:4" ht="24.75" customHeight="1">
      <c r="A1091" s="3" t="str">
        <f>"34892021110408333142304"</f>
        <v>34892021110408333142304</v>
      </c>
      <c r="B1091" s="3" t="s">
        <v>428</v>
      </c>
      <c r="C1091" s="3" t="str">
        <f>"张运糁"</f>
        <v>张运糁</v>
      </c>
      <c r="D1091" s="3" t="s">
        <v>1040</v>
      </c>
    </row>
    <row r="1092" spans="1:4" ht="24.75" customHeight="1">
      <c r="A1092" s="3" t="str">
        <f>"34892021110408342442307"</f>
        <v>34892021110408342442307</v>
      </c>
      <c r="B1092" s="3" t="s">
        <v>428</v>
      </c>
      <c r="C1092" s="3" t="str">
        <f>"符代强"</f>
        <v>符代强</v>
      </c>
      <c r="D1092" s="3" t="s">
        <v>1041</v>
      </c>
    </row>
    <row r="1093" spans="1:4" ht="24.75" customHeight="1">
      <c r="A1093" s="3" t="str">
        <f>"34892021110408354642309"</f>
        <v>34892021110408354642309</v>
      </c>
      <c r="B1093" s="3" t="s">
        <v>428</v>
      </c>
      <c r="C1093" s="3" t="str">
        <f>"孙平"</f>
        <v>孙平</v>
      </c>
      <c r="D1093" s="3" t="s">
        <v>1042</v>
      </c>
    </row>
    <row r="1094" spans="1:4" ht="24.75" customHeight="1">
      <c r="A1094" s="3" t="str">
        <f>"34892021110408381542315"</f>
        <v>34892021110408381542315</v>
      </c>
      <c r="B1094" s="3" t="s">
        <v>428</v>
      </c>
      <c r="C1094" s="3" t="str">
        <f>"王植柳"</f>
        <v>王植柳</v>
      </c>
      <c r="D1094" s="3" t="s">
        <v>1043</v>
      </c>
    </row>
    <row r="1095" spans="1:4" ht="24.75" customHeight="1">
      <c r="A1095" s="3" t="str">
        <f>"34892021110408402342322"</f>
        <v>34892021110408402342322</v>
      </c>
      <c r="B1095" s="3" t="s">
        <v>428</v>
      </c>
      <c r="C1095" s="3" t="str">
        <f>"李雪曼"</f>
        <v>李雪曼</v>
      </c>
      <c r="D1095" s="3" t="s">
        <v>401</v>
      </c>
    </row>
    <row r="1096" spans="1:4" ht="24.75" customHeight="1">
      <c r="A1096" s="3" t="str">
        <f>"34892021110408424242327"</f>
        <v>34892021110408424242327</v>
      </c>
      <c r="B1096" s="3" t="s">
        <v>428</v>
      </c>
      <c r="C1096" s="3" t="str">
        <f>"李铭栋"</f>
        <v>李铭栋</v>
      </c>
      <c r="D1096" s="3" t="s">
        <v>1044</v>
      </c>
    </row>
    <row r="1097" spans="1:4" ht="24.75" customHeight="1">
      <c r="A1097" s="3" t="str">
        <f>"34892021110408440042332"</f>
        <v>34892021110408440042332</v>
      </c>
      <c r="B1097" s="3" t="s">
        <v>428</v>
      </c>
      <c r="C1097" s="3" t="str">
        <f>"王筱"</f>
        <v>王筱</v>
      </c>
      <c r="D1097" s="3" t="s">
        <v>1045</v>
      </c>
    </row>
    <row r="1098" spans="1:4" ht="24.75" customHeight="1">
      <c r="A1098" s="3" t="str">
        <f>"34892021110408445142334"</f>
        <v>34892021110408445142334</v>
      </c>
      <c r="B1098" s="3" t="s">
        <v>428</v>
      </c>
      <c r="C1098" s="3" t="str">
        <f>"杨洽"</f>
        <v>杨洽</v>
      </c>
      <c r="D1098" s="3" t="s">
        <v>1046</v>
      </c>
    </row>
    <row r="1099" spans="1:4" ht="24.75" customHeight="1">
      <c r="A1099" s="3" t="str">
        <f>"34892021110408445342335"</f>
        <v>34892021110408445342335</v>
      </c>
      <c r="B1099" s="3" t="s">
        <v>428</v>
      </c>
      <c r="C1099" s="3" t="str">
        <f>"容喜琳"</f>
        <v>容喜琳</v>
      </c>
      <c r="D1099" s="3" t="s">
        <v>1047</v>
      </c>
    </row>
    <row r="1100" spans="1:4" ht="24.75" customHeight="1">
      <c r="A1100" s="3" t="str">
        <f>"34892021110408504842342"</f>
        <v>34892021110408504842342</v>
      </c>
      <c r="B1100" s="3" t="s">
        <v>428</v>
      </c>
      <c r="C1100" s="3" t="str">
        <f>"许律弟"</f>
        <v>许律弟</v>
      </c>
      <c r="D1100" s="3" t="s">
        <v>1048</v>
      </c>
    </row>
    <row r="1101" spans="1:4" ht="24.75" customHeight="1">
      <c r="A1101" s="3" t="str">
        <f>"34892021110408512542345"</f>
        <v>34892021110408512542345</v>
      </c>
      <c r="B1101" s="3" t="s">
        <v>428</v>
      </c>
      <c r="C1101" s="3" t="str">
        <f>"王英任"</f>
        <v>王英任</v>
      </c>
      <c r="D1101" s="3" t="s">
        <v>1049</v>
      </c>
    </row>
    <row r="1102" spans="1:4" ht="24.75" customHeight="1">
      <c r="A1102" s="3" t="str">
        <f>"34892021110408520642347"</f>
        <v>34892021110408520642347</v>
      </c>
      <c r="B1102" s="3" t="s">
        <v>428</v>
      </c>
      <c r="C1102" s="3" t="str">
        <f>"郑勇珍"</f>
        <v>郑勇珍</v>
      </c>
      <c r="D1102" s="3" t="s">
        <v>365</v>
      </c>
    </row>
    <row r="1103" spans="1:4" ht="24.75" customHeight="1">
      <c r="A1103" s="3" t="str">
        <f>"34892021110408542142356"</f>
        <v>34892021110408542142356</v>
      </c>
      <c r="B1103" s="3" t="s">
        <v>428</v>
      </c>
      <c r="C1103" s="3" t="str">
        <f>"吴年华"</f>
        <v>吴年华</v>
      </c>
      <c r="D1103" s="3" t="s">
        <v>1050</v>
      </c>
    </row>
    <row r="1104" spans="1:4" ht="24.75" customHeight="1">
      <c r="A1104" s="3" t="str">
        <f>"34892021110408552142357"</f>
        <v>34892021110408552142357</v>
      </c>
      <c r="B1104" s="3" t="s">
        <v>428</v>
      </c>
      <c r="C1104" s="3" t="str">
        <f>"符芳锦"</f>
        <v>符芳锦</v>
      </c>
      <c r="D1104" s="3" t="s">
        <v>1051</v>
      </c>
    </row>
    <row r="1105" spans="1:4" ht="24.75" customHeight="1">
      <c r="A1105" s="3" t="str">
        <f>"34892021110408570242359"</f>
        <v>34892021110408570242359</v>
      </c>
      <c r="B1105" s="3" t="s">
        <v>428</v>
      </c>
      <c r="C1105" s="3" t="str">
        <f>"陈婉云"</f>
        <v>陈婉云</v>
      </c>
      <c r="D1105" s="3" t="s">
        <v>1052</v>
      </c>
    </row>
    <row r="1106" spans="1:4" ht="24.75" customHeight="1">
      <c r="A1106" s="3" t="str">
        <f>"34892021110409012642370"</f>
        <v>34892021110409012642370</v>
      </c>
      <c r="B1106" s="3" t="s">
        <v>428</v>
      </c>
      <c r="C1106" s="3" t="str">
        <f>"黄惠"</f>
        <v>黄惠</v>
      </c>
      <c r="D1106" s="3" t="s">
        <v>1053</v>
      </c>
    </row>
    <row r="1107" spans="1:4" ht="24.75" customHeight="1">
      <c r="A1107" s="3" t="str">
        <f>"34892021110409014842371"</f>
        <v>34892021110409014842371</v>
      </c>
      <c r="B1107" s="3" t="s">
        <v>428</v>
      </c>
      <c r="C1107" s="3" t="str">
        <f>"孙传鸿"</f>
        <v>孙传鸿</v>
      </c>
      <c r="D1107" s="3" t="s">
        <v>1054</v>
      </c>
    </row>
    <row r="1108" spans="1:4" ht="24.75" customHeight="1">
      <c r="A1108" s="3" t="str">
        <f>"34892021110409024542376"</f>
        <v>34892021110409024542376</v>
      </c>
      <c r="B1108" s="3" t="s">
        <v>428</v>
      </c>
      <c r="C1108" s="3" t="str">
        <f>"刘青旺"</f>
        <v>刘青旺</v>
      </c>
      <c r="D1108" s="3" t="s">
        <v>1055</v>
      </c>
    </row>
    <row r="1109" spans="1:4" ht="24.75" customHeight="1">
      <c r="A1109" s="3" t="str">
        <f>"34892021110409030642378"</f>
        <v>34892021110409030642378</v>
      </c>
      <c r="B1109" s="3" t="s">
        <v>428</v>
      </c>
      <c r="C1109" s="3" t="str">
        <f>"王陵芳"</f>
        <v>王陵芳</v>
      </c>
      <c r="D1109" s="3" t="s">
        <v>1032</v>
      </c>
    </row>
    <row r="1110" spans="1:4" ht="24.75" customHeight="1">
      <c r="A1110" s="3" t="str">
        <f>"34892021110409031542379"</f>
        <v>34892021110409031542379</v>
      </c>
      <c r="B1110" s="3" t="s">
        <v>428</v>
      </c>
      <c r="C1110" s="3" t="str">
        <f>"王勋炳"</f>
        <v>王勋炳</v>
      </c>
      <c r="D1110" s="3" t="s">
        <v>1056</v>
      </c>
    </row>
    <row r="1111" spans="1:4" ht="24.75" customHeight="1">
      <c r="A1111" s="3" t="str">
        <f>"34892021110409043142382"</f>
        <v>34892021110409043142382</v>
      </c>
      <c r="B1111" s="3" t="s">
        <v>428</v>
      </c>
      <c r="C1111" s="3" t="str">
        <f>"符海媚"</f>
        <v>符海媚</v>
      </c>
      <c r="D1111" s="3" t="s">
        <v>1057</v>
      </c>
    </row>
    <row r="1112" spans="1:4" ht="24.75" customHeight="1">
      <c r="A1112" s="3" t="str">
        <f>"34892021110409054542386"</f>
        <v>34892021110409054542386</v>
      </c>
      <c r="B1112" s="3" t="s">
        <v>428</v>
      </c>
      <c r="C1112" s="3" t="str">
        <f>"吴清妮"</f>
        <v>吴清妮</v>
      </c>
      <c r="D1112" s="3" t="s">
        <v>1058</v>
      </c>
    </row>
    <row r="1113" spans="1:4" ht="24.75" customHeight="1">
      <c r="A1113" s="3" t="str">
        <f>"34892021110409064042388"</f>
        <v>34892021110409064042388</v>
      </c>
      <c r="B1113" s="3" t="s">
        <v>428</v>
      </c>
      <c r="C1113" s="3" t="str">
        <f>"郭美带"</f>
        <v>郭美带</v>
      </c>
      <c r="D1113" s="3" t="s">
        <v>1059</v>
      </c>
    </row>
    <row r="1114" spans="1:4" ht="24.75" customHeight="1">
      <c r="A1114" s="3" t="str">
        <f>"34892021110409075142391"</f>
        <v>34892021110409075142391</v>
      </c>
      <c r="B1114" s="3" t="s">
        <v>428</v>
      </c>
      <c r="C1114" s="3" t="str">
        <f>"杨阳"</f>
        <v>杨阳</v>
      </c>
      <c r="D1114" s="3" t="s">
        <v>1060</v>
      </c>
    </row>
    <row r="1115" spans="1:4" ht="24.75" customHeight="1">
      <c r="A1115" s="3" t="str">
        <f>"34892021110409081042393"</f>
        <v>34892021110409081042393</v>
      </c>
      <c r="B1115" s="3" t="s">
        <v>428</v>
      </c>
      <c r="C1115" s="3" t="str">
        <f>"符信女"</f>
        <v>符信女</v>
      </c>
      <c r="D1115" s="3" t="s">
        <v>1061</v>
      </c>
    </row>
    <row r="1116" spans="1:4" ht="24.75" customHeight="1">
      <c r="A1116" s="3" t="str">
        <f>"34892021110409140542407"</f>
        <v>34892021110409140542407</v>
      </c>
      <c r="B1116" s="3" t="s">
        <v>428</v>
      </c>
      <c r="C1116" s="3" t="str">
        <f>"杨睿"</f>
        <v>杨睿</v>
      </c>
      <c r="D1116" s="3" t="s">
        <v>1062</v>
      </c>
    </row>
    <row r="1117" spans="1:4" ht="24.75" customHeight="1">
      <c r="A1117" s="3" t="str">
        <f>"34892021110409142342408"</f>
        <v>34892021110409142342408</v>
      </c>
      <c r="B1117" s="3" t="s">
        <v>428</v>
      </c>
      <c r="C1117" s="3" t="str">
        <f>"陈飞飞"</f>
        <v>陈飞飞</v>
      </c>
      <c r="D1117" s="3" t="s">
        <v>1063</v>
      </c>
    </row>
    <row r="1118" spans="1:4" ht="24.75" customHeight="1">
      <c r="A1118" s="3" t="str">
        <f>"34892021110409173742418"</f>
        <v>34892021110409173742418</v>
      </c>
      <c r="B1118" s="3" t="s">
        <v>428</v>
      </c>
      <c r="C1118" s="3" t="str">
        <f>"宋慧"</f>
        <v>宋慧</v>
      </c>
      <c r="D1118" s="3" t="s">
        <v>1064</v>
      </c>
    </row>
    <row r="1119" spans="1:4" ht="24.75" customHeight="1">
      <c r="A1119" s="3" t="str">
        <f>"34892021110409195042426"</f>
        <v>34892021110409195042426</v>
      </c>
      <c r="B1119" s="3" t="s">
        <v>428</v>
      </c>
      <c r="C1119" s="3" t="str">
        <f>"王瑶"</f>
        <v>王瑶</v>
      </c>
      <c r="D1119" s="3" t="s">
        <v>1065</v>
      </c>
    </row>
    <row r="1120" spans="1:4" ht="24.75" customHeight="1">
      <c r="A1120" s="3" t="str">
        <f>"34892021110409215142432"</f>
        <v>34892021110409215142432</v>
      </c>
      <c r="B1120" s="3" t="s">
        <v>428</v>
      </c>
      <c r="C1120" s="3" t="str">
        <f>"张玲"</f>
        <v>张玲</v>
      </c>
      <c r="D1120" s="3" t="s">
        <v>1066</v>
      </c>
    </row>
    <row r="1121" spans="1:4" ht="24.75" customHeight="1">
      <c r="A1121" s="3" t="str">
        <f>"34892021110409221642436"</f>
        <v>34892021110409221642436</v>
      </c>
      <c r="B1121" s="3" t="s">
        <v>428</v>
      </c>
      <c r="C1121" s="3" t="str">
        <f>"徐木交"</f>
        <v>徐木交</v>
      </c>
      <c r="D1121" s="3" t="s">
        <v>1067</v>
      </c>
    </row>
    <row r="1122" spans="1:4" ht="24.75" customHeight="1">
      <c r="A1122" s="3" t="str">
        <f>"34892021110409225042438"</f>
        <v>34892021110409225042438</v>
      </c>
      <c r="B1122" s="3" t="s">
        <v>428</v>
      </c>
      <c r="C1122" s="3" t="str">
        <f>"吴诗诗"</f>
        <v>吴诗诗</v>
      </c>
      <c r="D1122" s="3" t="s">
        <v>222</v>
      </c>
    </row>
    <row r="1123" spans="1:4" ht="24.75" customHeight="1">
      <c r="A1123" s="3" t="str">
        <f>"34892021110409233442442"</f>
        <v>34892021110409233442442</v>
      </c>
      <c r="B1123" s="3" t="s">
        <v>428</v>
      </c>
      <c r="C1123" s="3" t="str">
        <f>"王仙玉"</f>
        <v>王仙玉</v>
      </c>
      <c r="D1123" s="3" t="s">
        <v>1068</v>
      </c>
    </row>
    <row r="1124" spans="1:4" ht="24.75" customHeight="1">
      <c r="A1124" s="3" t="str">
        <f>"34892021110409260742452"</f>
        <v>34892021110409260742452</v>
      </c>
      <c r="B1124" s="3" t="s">
        <v>428</v>
      </c>
      <c r="C1124" s="3" t="str">
        <f>"刘定祉"</f>
        <v>刘定祉</v>
      </c>
      <c r="D1124" s="3" t="s">
        <v>1069</v>
      </c>
    </row>
    <row r="1125" spans="1:4" ht="24.75" customHeight="1">
      <c r="A1125" s="3" t="str">
        <f>"34892021110409270242453"</f>
        <v>34892021110409270242453</v>
      </c>
      <c r="B1125" s="3" t="s">
        <v>428</v>
      </c>
      <c r="C1125" s="3" t="str">
        <f>"王雨婷"</f>
        <v>王雨婷</v>
      </c>
      <c r="D1125" s="3" t="s">
        <v>1070</v>
      </c>
    </row>
    <row r="1126" spans="1:4" ht="24.75" customHeight="1">
      <c r="A1126" s="3" t="str">
        <f>"34892021110409270842454"</f>
        <v>34892021110409270842454</v>
      </c>
      <c r="B1126" s="3" t="s">
        <v>428</v>
      </c>
      <c r="C1126" s="3" t="str">
        <f>"胡钰苹"</f>
        <v>胡钰苹</v>
      </c>
      <c r="D1126" s="3" t="s">
        <v>1071</v>
      </c>
    </row>
    <row r="1127" spans="1:4" ht="24.75" customHeight="1">
      <c r="A1127" s="3" t="str">
        <f>"34892021110409305442463"</f>
        <v>34892021110409305442463</v>
      </c>
      <c r="B1127" s="3" t="s">
        <v>428</v>
      </c>
      <c r="C1127" s="3" t="str">
        <f>"符国艳"</f>
        <v>符国艳</v>
      </c>
      <c r="D1127" s="3" t="s">
        <v>1072</v>
      </c>
    </row>
    <row r="1128" spans="1:4" ht="24.75" customHeight="1">
      <c r="A1128" s="3" t="str">
        <f>"34892021110409334142471"</f>
        <v>34892021110409334142471</v>
      </c>
      <c r="B1128" s="3" t="s">
        <v>428</v>
      </c>
      <c r="C1128" s="3" t="str">
        <f>"王敏"</f>
        <v>王敏</v>
      </c>
      <c r="D1128" s="3" t="s">
        <v>1073</v>
      </c>
    </row>
    <row r="1129" spans="1:4" ht="24.75" customHeight="1">
      <c r="A1129" s="3" t="str">
        <f>"34892021110409394942486"</f>
        <v>34892021110409394942486</v>
      </c>
      <c r="B1129" s="3" t="s">
        <v>428</v>
      </c>
      <c r="C1129" s="3" t="str">
        <f>"符莉英"</f>
        <v>符莉英</v>
      </c>
      <c r="D1129" s="3" t="s">
        <v>1074</v>
      </c>
    </row>
    <row r="1130" spans="1:4" ht="24.75" customHeight="1">
      <c r="A1130" s="3" t="str">
        <f>"34892021110409395442487"</f>
        <v>34892021110409395442487</v>
      </c>
      <c r="B1130" s="3" t="s">
        <v>428</v>
      </c>
      <c r="C1130" s="3" t="str">
        <f>"陈月兰"</f>
        <v>陈月兰</v>
      </c>
      <c r="D1130" s="3" t="s">
        <v>1075</v>
      </c>
    </row>
    <row r="1131" spans="1:4" ht="24.75" customHeight="1">
      <c r="A1131" s="3" t="str">
        <f>"34892021110409423342494"</f>
        <v>34892021110409423342494</v>
      </c>
      <c r="B1131" s="3" t="s">
        <v>428</v>
      </c>
      <c r="C1131" s="3" t="str">
        <f>"符策鼎"</f>
        <v>符策鼎</v>
      </c>
      <c r="D1131" s="3" t="s">
        <v>1076</v>
      </c>
    </row>
    <row r="1132" spans="1:4" ht="24.75" customHeight="1">
      <c r="A1132" s="3" t="str">
        <f>"34892021110409442642506"</f>
        <v>34892021110409442642506</v>
      </c>
      <c r="B1132" s="3" t="s">
        <v>428</v>
      </c>
      <c r="C1132" s="3" t="str">
        <f>"潘晓萱"</f>
        <v>潘晓萱</v>
      </c>
      <c r="D1132" s="3" t="s">
        <v>1077</v>
      </c>
    </row>
    <row r="1133" spans="1:4" ht="24.75" customHeight="1">
      <c r="A1133" s="3" t="str">
        <f>"34892021110409443742508"</f>
        <v>34892021110409443742508</v>
      </c>
      <c r="B1133" s="3" t="s">
        <v>428</v>
      </c>
      <c r="C1133" s="3" t="str">
        <f>"李美坚"</f>
        <v>李美坚</v>
      </c>
      <c r="D1133" s="3" t="s">
        <v>1078</v>
      </c>
    </row>
    <row r="1134" spans="1:4" ht="24.75" customHeight="1">
      <c r="A1134" s="3" t="str">
        <f>"34892021110409444042509"</f>
        <v>34892021110409444042509</v>
      </c>
      <c r="B1134" s="3" t="s">
        <v>428</v>
      </c>
      <c r="C1134" s="3" t="str">
        <f>"王芷华"</f>
        <v>王芷华</v>
      </c>
      <c r="D1134" s="3" t="s">
        <v>1079</v>
      </c>
    </row>
    <row r="1135" spans="1:4" ht="24.75" customHeight="1">
      <c r="A1135" s="3" t="str">
        <f>"34892021110409445842510"</f>
        <v>34892021110409445842510</v>
      </c>
      <c r="B1135" s="3" t="s">
        <v>428</v>
      </c>
      <c r="C1135" s="3" t="str">
        <f>"卓圆梦"</f>
        <v>卓圆梦</v>
      </c>
      <c r="D1135" s="3" t="s">
        <v>1080</v>
      </c>
    </row>
    <row r="1136" spans="1:4" ht="24.75" customHeight="1">
      <c r="A1136" s="3" t="str">
        <f>"34892021110409465142515"</f>
        <v>34892021110409465142515</v>
      </c>
      <c r="B1136" s="3" t="s">
        <v>428</v>
      </c>
      <c r="C1136" s="3" t="str">
        <f>"范晓晓"</f>
        <v>范晓晓</v>
      </c>
      <c r="D1136" s="3" t="s">
        <v>1081</v>
      </c>
    </row>
    <row r="1137" spans="1:4" ht="24.75" customHeight="1">
      <c r="A1137" s="3" t="str">
        <f>"34892021110409484742519"</f>
        <v>34892021110409484742519</v>
      </c>
      <c r="B1137" s="3" t="s">
        <v>428</v>
      </c>
      <c r="C1137" s="3" t="str">
        <f>"刘秀娟"</f>
        <v>刘秀娟</v>
      </c>
      <c r="D1137" s="3" t="s">
        <v>1082</v>
      </c>
    </row>
    <row r="1138" spans="1:4" ht="24.75" customHeight="1">
      <c r="A1138" s="3" t="str">
        <f>"34892021110409504442523"</f>
        <v>34892021110409504442523</v>
      </c>
      <c r="B1138" s="3" t="s">
        <v>428</v>
      </c>
      <c r="C1138" s="3" t="str">
        <f>"冯璐"</f>
        <v>冯璐</v>
      </c>
      <c r="D1138" s="3" t="s">
        <v>1083</v>
      </c>
    </row>
    <row r="1139" spans="1:4" ht="24.75" customHeight="1">
      <c r="A1139" s="3" t="str">
        <f>"34892021110409510042524"</f>
        <v>34892021110409510042524</v>
      </c>
      <c r="B1139" s="3" t="s">
        <v>428</v>
      </c>
      <c r="C1139" s="3" t="str">
        <f>"王倡文"</f>
        <v>王倡文</v>
      </c>
      <c r="D1139" s="3" t="s">
        <v>1084</v>
      </c>
    </row>
    <row r="1140" spans="1:4" ht="24.75" customHeight="1">
      <c r="A1140" s="3" t="str">
        <f>"34892021110409522142529"</f>
        <v>34892021110409522142529</v>
      </c>
      <c r="B1140" s="3" t="s">
        <v>428</v>
      </c>
      <c r="C1140" s="3" t="str">
        <f>"王龙惠"</f>
        <v>王龙惠</v>
      </c>
      <c r="D1140" s="3" t="s">
        <v>590</v>
      </c>
    </row>
    <row r="1141" spans="1:4" ht="24.75" customHeight="1">
      <c r="A1141" s="3" t="str">
        <f>"34892021110409522442530"</f>
        <v>34892021110409522442530</v>
      </c>
      <c r="B1141" s="3" t="s">
        <v>428</v>
      </c>
      <c r="C1141" s="3" t="str">
        <f>"林小曼"</f>
        <v>林小曼</v>
      </c>
      <c r="D1141" s="3" t="s">
        <v>1085</v>
      </c>
    </row>
    <row r="1142" spans="1:4" ht="24.75" customHeight="1">
      <c r="A1142" s="3" t="str">
        <f>"34892021110409523542532"</f>
        <v>34892021110409523542532</v>
      </c>
      <c r="B1142" s="3" t="s">
        <v>428</v>
      </c>
      <c r="C1142" s="3" t="str">
        <f>"姚宇茜"</f>
        <v>姚宇茜</v>
      </c>
      <c r="D1142" s="3" t="s">
        <v>1086</v>
      </c>
    </row>
    <row r="1143" spans="1:4" ht="24.75" customHeight="1">
      <c r="A1143" s="3" t="str">
        <f>"34892021110409550042536"</f>
        <v>34892021110409550042536</v>
      </c>
      <c r="B1143" s="3" t="s">
        <v>428</v>
      </c>
      <c r="C1143" s="3" t="str">
        <f>"陈彩娜"</f>
        <v>陈彩娜</v>
      </c>
      <c r="D1143" s="3" t="s">
        <v>1087</v>
      </c>
    </row>
    <row r="1144" spans="1:4" ht="24.75" customHeight="1">
      <c r="A1144" s="3" t="str">
        <f>"34892021110409560542539"</f>
        <v>34892021110409560542539</v>
      </c>
      <c r="B1144" s="3" t="s">
        <v>428</v>
      </c>
      <c r="C1144" s="3" t="str">
        <f>"周石林"</f>
        <v>周石林</v>
      </c>
      <c r="D1144" s="3" t="s">
        <v>1088</v>
      </c>
    </row>
    <row r="1145" spans="1:4" ht="24.75" customHeight="1">
      <c r="A1145" s="3" t="str">
        <f>"34892021110409574342546"</f>
        <v>34892021110409574342546</v>
      </c>
      <c r="B1145" s="3" t="s">
        <v>428</v>
      </c>
      <c r="C1145" s="3" t="str">
        <f>"范老钦"</f>
        <v>范老钦</v>
      </c>
      <c r="D1145" s="3" t="s">
        <v>1089</v>
      </c>
    </row>
    <row r="1146" spans="1:4" ht="24.75" customHeight="1">
      <c r="A1146" s="3" t="str">
        <f>"34892021110410000642555"</f>
        <v>34892021110410000642555</v>
      </c>
      <c r="B1146" s="3" t="s">
        <v>428</v>
      </c>
      <c r="C1146" s="3" t="str">
        <f>"黄梦"</f>
        <v>黄梦</v>
      </c>
      <c r="D1146" s="3" t="s">
        <v>1090</v>
      </c>
    </row>
    <row r="1147" spans="1:4" ht="24.75" customHeight="1">
      <c r="A1147" s="3" t="str">
        <f>"34892021110410042542563"</f>
        <v>34892021110410042542563</v>
      </c>
      <c r="B1147" s="3" t="s">
        <v>428</v>
      </c>
      <c r="C1147" s="3" t="str">
        <f>"陈重元"</f>
        <v>陈重元</v>
      </c>
      <c r="D1147" s="3" t="s">
        <v>1091</v>
      </c>
    </row>
    <row r="1148" spans="1:4" ht="24.75" customHeight="1">
      <c r="A1148" s="3" t="str">
        <f>"34892021110410045142564"</f>
        <v>34892021110410045142564</v>
      </c>
      <c r="B1148" s="3" t="s">
        <v>428</v>
      </c>
      <c r="C1148" s="3" t="str">
        <f>"符玉珍"</f>
        <v>符玉珍</v>
      </c>
      <c r="D1148" s="3" t="s">
        <v>1092</v>
      </c>
    </row>
    <row r="1149" spans="1:4" ht="24.75" customHeight="1">
      <c r="A1149" s="3" t="str">
        <f>"34892021110410055342566"</f>
        <v>34892021110410055342566</v>
      </c>
      <c r="B1149" s="3" t="s">
        <v>428</v>
      </c>
      <c r="C1149" s="3" t="str">
        <f>"张凤"</f>
        <v>张凤</v>
      </c>
      <c r="D1149" s="3" t="s">
        <v>1093</v>
      </c>
    </row>
    <row r="1150" spans="1:4" ht="24.75" customHeight="1">
      <c r="A1150" s="3" t="str">
        <f>"34892021110410142142589"</f>
        <v>34892021110410142142589</v>
      </c>
      <c r="B1150" s="3" t="s">
        <v>428</v>
      </c>
      <c r="C1150" s="3" t="str">
        <f>"唐侯坚"</f>
        <v>唐侯坚</v>
      </c>
      <c r="D1150" s="3" t="s">
        <v>1094</v>
      </c>
    </row>
    <row r="1151" spans="1:4" ht="24.75" customHeight="1">
      <c r="A1151" s="3" t="str">
        <f>"34892021110410162242596"</f>
        <v>34892021110410162242596</v>
      </c>
      <c r="B1151" s="3" t="s">
        <v>428</v>
      </c>
      <c r="C1151" s="3" t="str">
        <f>"唐萍"</f>
        <v>唐萍</v>
      </c>
      <c r="D1151" s="3" t="s">
        <v>1095</v>
      </c>
    </row>
    <row r="1152" spans="1:4" ht="24.75" customHeight="1">
      <c r="A1152" s="3" t="str">
        <f>"34892021110410165942600"</f>
        <v>34892021110410165942600</v>
      </c>
      <c r="B1152" s="3" t="s">
        <v>428</v>
      </c>
      <c r="C1152" s="3" t="str">
        <f>"杨镇铭"</f>
        <v>杨镇铭</v>
      </c>
      <c r="D1152" s="3" t="s">
        <v>1096</v>
      </c>
    </row>
    <row r="1153" spans="1:4" ht="24.75" customHeight="1">
      <c r="A1153" s="3" t="str">
        <f>"34892021110410172442603"</f>
        <v>34892021110410172442603</v>
      </c>
      <c r="B1153" s="3" t="s">
        <v>428</v>
      </c>
      <c r="C1153" s="3" t="str">
        <f>"孙伟恒"</f>
        <v>孙伟恒</v>
      </c>
      <c r="D1153" s="3" t="s">
        <v>1097</v>
      </c>
    </row>
    <row r="1154" spans="1:4" ht="24.75" customHeight="1">
      <c r="A1154" s="3" t="str">
        <f>"34892021110410173042605"</f>
        <v>34892021110410173042605</v>
      </c>
      <c r="B1154" s="3" t="s">
        <v>428</v>
      </c>
      <c r="C1154" s="3" t="str">
        <f>"黄华通"</f>
        <v>黄华通</v>
      </c>
      <c r="D1154" s="3" t="s">
        <v>1098</v>
      </c>
    </row>
    <row r="1155" spans="1:4" ht="24.75" customHeight="1">
      <c r="A1155" s="3" t="str">
        <f>"34892021110410183242610"</f>
        <v>34892021110410183242610</v>
      </c>
      <c r="B1155" s="3" t="s">
        <v>428</v>
      </c>
      <c r="C1155" s="3" t="str">
        <f>"陈佳俏"</f>
        <v>陈佳俏</v>
      </c>
      <c r="D1155" s="3" t="s">
        <v>1099</v>
      </c>
    </row>
    <row r="1156" spans="1:4" ht="24.75" customHeight="1">
      <c r="A1156" s="3" t="str">
        <f>"34892021110410224042626"</f>
        <v>34892021110410224042626</v>
      </c>
      <c r="B1156" s="3" t="s">
        <v>428</v>
      </c>
      <c r="C1156" s="3" t="str">
        <f>"林津伊"</f>
        <v>林津伊</v>
      </c>
      <c r="D1156" s="3" t="s">
        <v>1100</v>
      </c>
    </row>
    <row r="1157" spans="1:4" ht="24.75" customHeight="1">
      <c r="A1157" s="3" t="str">
        <f>"34892021110410243342630"</f>
        <v>34892021110410243342630</v>
      </c>
      <c r="B1157" s="3" t="s">
        <v>428</v>
      </c>
      <c r="C1157" s="3" t="str">
        <f>"孙杰"</f>
        <v>孙杰</v>
      </c>
      <c r="D1157" s="3" t="s">
        <v>1101</v>
      </c>
    </row>
    <row r="1158" spans="1:4" ht="24.75" customHeight="1">
      <c r="A1158" s="3" t="str">
        <f>"34892021110410281542644"</f>
        <v>34892021110410281542644</v>
      </c>
      <c r="B1158" s="3" t="s">
        <v>428</v>
      </c>
      <c r="C1158" s="3" t="str">
        <f>"张雅婷"</f>
        <v>张雅婷</v>
      </c>
      <c r="D1158" s="3" t="s">
        <v>1102</v>
      </c>
    </row>
    <row r="1159" spans="1:4" ht="24.75" customHeight="1">
      <c r="A1159" s="3" t="str">
        <f>"34892021110410281842645"</f>
        <v>34892021110410281842645</v>
      </c>
      <c r="B1159" s="3" t="s">
        <v>428</v>
      </c>
      <c r="C1159" s="3" t="str">
        <f>"陈晶晶"</f>
        <v>陈晶晶</v>
      </c>
      <c r="D1159" s="3" t="s">
        <v>1103</v>
      </c>
    </row>
    <row r="1160" spans="1:4" ht="24.75" customHeight="1">
      <c r="A1160" s="3" t="str">
        <f>"34892021110410282442647"</f>
        <v>34892021110410282442647</v>
      </c>
      <c r="B1160" s="3" t="s">
        <v>428</v>
      </c>
      <c r="C1160" s="3" t="str">
        <f>"何小菲"</f>
        <v>何小菲</v>
      </c>
      <c r="D1160" s="3" t="s">
        <v>1104</v>
      </c>
    </row>
    <row r="1161" spans="1:4" ht="24.75" customHeight="1">
      <c r="A1161" s="3" t="str">
        <f>"34892021110410283542649"</f>
        <v>34892021110410283542649</v>
      </c>
      <c r="B1161" s="3" t="s">
        <v>428</v>
      </c>
      <c r="C1161" s="3" t="str">
        <f>"王梦娜"</f>
        <v>王梦娜</v>
      </c>
      <c r="D1161" s="3" t="s">
        <v>1105</v>
      </c>
    </row>
    <row r="1162" spans="1:4" ht="24.75" customHeight="1">
      <c r="A1162" s="3" t="str">
        <f>"34892021110410294042652"</f>
        <v>34892021110410294042652</v>
      </c>
      <c r="B1162" s="3" t="s">
        <v>428</v>
      </c>
      <c r="C1162" s="3" t="str">
        <f>"谢立"</f>
        <v>谢立</v>
      </c>
      <c r="D1162" s="3" t="s">
        <v>1106</v>
      </c>
    </row>
    <row r="1163" spans="1:4" ht="24.75" customHeight="1">
      <c r="A1163" s="3" t="str">
        <f>"34892021110410295242653"</f>
        <v>34892021110410295242653</v>
      </c>
      <c r="B1163" s="3" t="s">
        <v>428</v>
      </c>
      <c r="C1163" s="3" t="str">
        <f>"陈玉丹"</f>
        <v>陈玉丹</v>
      </c>
      <c r="D1163" s="3" t="s">
        <v>1107</v>
      </c>
    </row>
    <row r="1164" spans="1:4" ht="24.75" customHeight="1">
      <c r="A1164" s="3" t="str">
        <f>"34892021110410301942654"</f>
        <v>34892021110410301942654</v>
      </c>
      <c r="B1164" s="3" t="s">
        <v>428</v>
      </c>
      <c r="C1164" s="3" t="str">
        <f>"王玲月"</f>
        <v>王玲月</v>
      </c>
      <c r="D1164" s="3" t="s">
        <v>1108</v>
      </c>
    </row>
    <row r="1165" spans="1:4" ht="24.75" customHeight="1">
      <c r="A1165" s="3" t="str">
        <f>"34892021110410315542660"</f>
        <v>34892021110410315542660</v>
      </c>
      <c r="B1165" s="3" t="s">
        <v>428</v>
      </c>
      <c r="C1165" s="3" t="str">
        <f>"林小橼"</f>
        <v>林小橼</v>
      </c>
      <c r="D1165" s="3" t="s">
        <v>1109</v>
      </c>
    </row>
    <row r="1166" spans="1:4" ht="24.75" customHeight="1">
      <c r="A1166" s="3" t="str">
        <f>"34892021110410320742661"</f>
        <v>34892021110410320742661</v>
      </c>
      <c r="B1166" s="3" t="s">
        <v>428</v>
      </c>
      <c r="C1166" s="3" t="str">
        <f>"文菲菲"</f>
        <v>文菲菲</v>
      </c>
      <c r="D1166" s="3" t="s">
        <v>1110</v>
      </c>
    </row>
    <row r="1167" spans="1:4" ht="24.75" customHeight="1">
      <c r="A1167" s="3" t="str">
        <f>"34892021110410340742668"</f>
        <v>34892021110410340742668</v>
      </c>
      <c r="B1167" s="3" t="s">
        <v>428</v>
      </c>
      <c r="C1167" s="3" t="str">
        <f>"齐英博"</f>
        <v>齐英博</v>
      </c>
      <c r="D1167" s="3" t="s">
        <v>1111</v>
      </c>
    </row>
    <row r="1168" spans="1:4" ht="24.75" customHeight="1">
      <c r="A1168" s="3" t="str">
        <f>"34892021110410353242674"</f>
        <v>34892021110410353242674</v>
      </c>
      <c r="B1168" s="3" t="s">
        <v>428</v>
      </c>
      <c r="C1168" s="3" t="str">
        <f>"林琳"</f>
        <v>林琳</v>
      </c>
      <c r="D1168" s="3" t="s">
        <v>1112</v>
      </c>
    </row>
    <row r="1169" spans="1:4" ht="24.75" customHeight="1">
      <c r="A1169" s="3" t="str">
        <f>"34892021110410373842685"</f>
        <v>34892021110410373842685</v>
      </c>
      <c r="B1169" s="3" t="s">
        <v>428</v>
      </c>
      <c r="C1169" s="3" t="str">
        <f>"王丽燕"</f>
        <v>王丽燕</v>
      </c>
      <c r="D1169" s="3" t="s">
        <v>1113</v>
      </c>
    </row>
    <row r="1170" spans="1:4" ht="24.75" customHeight="1">
      <c r="A1170" s="3" t="str">
        <f>"34892021110410384042692"</f>
        <v>34892021110410384042692</v>
      </c>
      <c r="B1170" s="3" t="s">
        <v>428</v>
      </c>
      <c r="C1170" s="3" t="str">
        <f>"陈美娇"</f>
        <v>陈美娇</v>
      </c>
      <c r="D1170" s="3" t="s">
        <v>1114</v>
      </c>
    </row>
    <row r="1171" spans="1:4" ht="24.75" customHeight="1">
      <c r="A1171" s="3" t="str">
        <f>"34892021110410392542696"</f>
        <v>34892021110410392542696</v>
      </c>
      <c r="B1171" s="3" t="s">
        <v>428</v>
      </c>
      <c r="C1171" s="3" t="str">
        <f>"赵楠楠"</f>
        <v>赵楠楠</v>
      </c>
      <c r="D1171" s="3" t="s">
        <v>1115</v>
      </c>
    </row>
    <row r="1172" spans="1:4" ht="24.75" customHeight="1">
      <c r="A1172" s="3" t="str">
        <f>"34892021110410395342697"</f>
        <v>34892021110410395342697</v>
      </c>
      <c r="B1172" s="3" t="s">
        <v>428</v>
      </c>
      <c r="C1172" s="3" t="str">
        <f>"周仁淇"</f>
        <v>周仁淇</v>
      </c>
      <c r="D1172" s="3" t="s">
        <v>1116</v>
      </c>
    </row>
    <row r="1173" spans="1:4" ht="24.75" customHeight="1">
      <c r="A1173" s="3" t="str">
        <f>"34892021110410414742701"</f>
        <v>34892021110410414742701</v>
      </c>
      <c r="B1173" s="3" t="s">
        <v>428</v>
      </c>
      <c r="C1173" s="3" t="str">
        <f>"羊儒林"</f>
        <v>羊儒林</v>
      </c>
      <c r="D1173" s="3" t="s">
        <v>1117</v>
      </c>
    </row>
    <row r="1174" spans="1:4" ht="24.75" customHeight="1">
      <c r="A1174" s="3" t="str">
        <f>"34892021110410440642712"</f>
        <v>34892021110410440642712</v>
      </c>
      <c r="B1174" s="3" t="s">
        <v>428</v>
      </c>
      <c r="C1174" s="3" t="str">
        <f>"王彩银"</f>
        <v>王彩银</v>
      </c>
      <c r="D1174" s="3" t="s">
        <v>1118</v>
      </c>
    </row>
    <row r="1175" spans="1:4" ht="24.75" customHeight="1">
      <c r="A1175" s="3" t="str">
        <f>"34892021110410441142713"</f>
        <v>34892021110410441142713</v>
      </c>
      <c r="B1175" s="3" t="s">
        <v>428</v>
      </c>
      <c r="C1175" s="3" t="str">
        <f>"符小姗"</f>
        <v>符小姗</v>
      </c>
      <c r="D1175" s="3" t="s">
        <v>1119</v>
      </c>
    </row>
    <row r="1176" spans="1:4" ht="24.75" customHeight="1">
      <c r="A1176" s="3" t="str">
        <f>"34892021110410455142722"</f>
        <v>34892021110410455142722</v>
      </c>
      <c r="B1176" s="3" t="s">
        <v>428</v>
      </c>
      <c r="C1176" s="3" t="str">
        <f>"关冬蓉"</f>
        <v>关冬蓉</v>
      </c>
      <c r="D1176" s="3" t="s">
        <v>1120</v>
      </c>
    </row>
    <row r="1177" spans="1:4" ht="24.75" customHeight="1">
      <c r="A1177" s="3" t="str">
        <f>"34892021110410475242729"</f>
        <v>34892021110410475242729</v>
      </c>
      <c r="B1177" s="3" t="s">
        <v>428</v>
      </c>
      <c r="C1177" s="3" t="str">
        <f>"袁新萍"</f>
        <v>袁新萍</v>
      </c>
      <c r="D1177" s="3" t="s">
        <v>1121</v>
      </c>
    </row>
    <row r="1178" spans="1:4" ht="24.75" customHeight="1">
      <c r="A1178" s="3" t="str">
        <f>"34892021110410493142732"</f>
        <v>34892021110410493142732</v>
      </c>
      <c r="B1178" s="3" t="s">
        <v>428</v>
      </c>
      <c r="C1178" s="3" t="str">
        <f>"张乐经"</f>
        <v>张乐经</v>
      </c>
      <c r="D1178" s="3" t="s">
        <v>1122</v>
      </c>
    </row>
    <row r="1179" spans="1:4" ht="24.75" customHeight="1">
      <c r="A1179" s="3" t="str">
        <f>"34892021110410555442752"</f>
        <v>34892021110410555442752</v>
      </c>
      <c r="B1179" s="3" t="s">
        <v>428</v>
      </c>
      <c r="C1179" s="3" t="str">
        <f>"王康锦"</f>
        <v>王康锦</v>
      </c>
      <c r="D1179" s="3" t="s">
        <v>1123</v>
      </c>
    </row>
    <row r="1180" spans="1:4" ht="24.75" customHeight="1">
      <c r="A1180" s="3" t="str">
        <f>"34892021110410562142755"</f>
        <v>34892021110410562142755</v>
      </c>
      <c r="B1180" s="3" t="s">
        <v>428</v>
      </c>
      <c r="C1180" s="3" t="str">
        <f>"王俊才"</f>
        <v>王俊才</v>
      </c>
      <c r="D1180" s="3" t="s">
        <v>424</v>
      </c>
    </row>
    <row r="1181" spans="1:4" ht="24.75" customHeight="1">
      <c r="A1181" s="3" t="str">
        <f>"34892021110410580442760"</f>
        <v>34892021110410580442760</v>
      </c>
      <c r="B1181" s="3" t="s">
        <v>428</v>
      </c>
      <c r="C1181" s="3" t="str">
        <f>"王子梅"</f>
        <v>王子梅</v>
      </c>
      <c r="D1181" s="3" t="s">
        <v>1124</v>
      </c>
    </row>
    <row r="1182" spans="1:4" ht="24.75" customHeight="1">
      <c r="A1182" s="3" t="str">
        <f>"34892021110410581842761"</f>
        <v>34892021110410581842761</v>
      </c>
      <c r="B1182" s="3" t="s">
        <v>428</v>
      </c>
      <c r="C1182" s="3" t="str">
        <f>"莫伟善"</f>
        <v>莫伟善</v>
      </c>
      <c r="D1182" s="3" t="s">
        <v>1125</v>
      </c>
    </row>
    <row r="1183" spans="1:4" ht="24.75" customHeight="1">
      <c r="A1183" s="3" t="str">
        <f>"34892021110411015742770"</f>
        <v>34892021110411015742770</v>
      </c>
      <c r="B1183" s="3" t="s">
        <v>428</v>
      </c>
      <c r="C1183" s="3" t="str">
        <f>"林先锋"</f>
        <v>林先锋</v>
      </c>
      <c r="D1183" s="3" t="s">
        <v>1126</v>
      </c>
    </row>
    <row r="1184" spans="1:4" ht="24.75" customHeight="1">
      <c r="A1184" s="3" t="str">
        <f>"34892021110411025242776"</f>
        <v>34892021110411025242776</v>
      </c>
      <c r="B1184" s="3" t="s">
        <v>428</v>
      </c>
      <c r="C1184" s="3" t="str">
        <f>"黄海燕"</f>
        <v>黄海燕</v>
      </c>
      <c r="D1184" s="3" t="s">
        <v>1127</v>
      </c>
    </row>
    <row r="1185" spans="1:4" ht="24.75" customHeight="1">
      <c r="A1185" s="3" t="str">
        <f>"34892021110411045442782"</f>
        <v>34892021110411045442782</v>
      </c>
      <c r="B1185" s="3" t="s">
        <v>428</v>
      </c>
      <c r="C1185" s="3" t="str">
        <f>"李海凡"</f>
        <v>李海凡</v>
      </c>
      <c r="D1185" s="3" t="s">
        <v>1128</v>
      </c>
    </row>
    <row r="1186" spans="1:4" ht="24.75" customHeight="1">
      <c r="A1186" s="3" t="str">
        <f>"34892021110411050942783"</f>
        <v>34892021110411050942783</v>
      </c>
      <c r="B1186" s="3" t="s">
        <v>428</v>
      </c>
      <c r="C1186" s="3" t="str">
        <f>"黄云偕"</f>
        <v>黄云偕</v>
      </c>
      <c r="D1186" s="3" t="s">
        <v>1129</v>
      </c>
    </row>
    <row r="1187" spans="1:4" ht="24.75" customHeight="1">
      <c r="A1187" s="3" t="str">
        <f>"34892021110411061142786"</f>
        <v>34892021110411061142786</v>
      </c>
      <c r="B1187" s="3" t="s">
        <v>428</v>
      </c>
      <c r="C1187" s="3" t="str">
        <f>"郑咪咪"</f>
        <v>郑咪咪</v>
      </c>
      <c r="D1187" s="3" t="s">
        <v>1130</v>
      </c>
    </row>
    <row r="1188" spans="1:4" ht="24.75" customHeight="1">
      <c r="A1188" s="3" t="str">
        <f>"34892021110411061542789"</f>
        <v>34892021110411061542789</v>
      </c>
      <c r="B1188" s="3" t="s">
        <v>428</v>
      </c>
      <c r="C1188" s="3" t="str">
        <f>"牛冠琼"</f>
        <v>牛冠琼</v>
      </c>
      <c r="D1188" s="3" t="s">
        <v>1131</v>
      </c>
    </row>
    <row r="1189" spans="1:4" ht="24.75" customHeight="1">
      <c r="A1189" s="3" t="str">
        <f>"34892021110411074242792"</f>
        <v>34892021110411074242792</v>
      </c>
      <c r="B1189" s="3" t="s">
        <v>428</v>
      </c>
      <c r="C1189" s="3" t="str">
        <f>"符志萱"</f>
        <v>符志萱</v>
      </c>
      <c r="D1189" s="3" t="s">
        <v>422</v>
      </c>
    </row>
    <row r="1190" spans="1:4" ht="24.75" customHeight="1">
      <c r="A1190" s="3" t="str">
        <f>"34892021110411112242798"</f>
        <v>34892021110411112242798</v>
      </c>
      <c r="B1190" s="3" t="s">
        <v>428</v>
      </c>
      <c r="C1190" s="3" t="str">
        <f>"吴毓胜"</f>
        <v>吴毓胜</v>
      </c>
      <c r="D1190" s="3" t="s">
        <v>1132</v>
      </c>
    </row>
    <row r="1191" spans="1:4" ht="24.75" customHeight="1">
      <c r="A1191" s="3" t="str">
        <f>"34892021110411122942801"</f>
        <v>34892021110411122942801</v>
      </c>
      <c r="B1191" s="3" t="s">
        <v>428</v>
      </c>
      <c r="C1191" s="3" t="str">
        <f>"陈积良"</f>
        <v>陈积良</v>
      </c>
      <c r="D1191" s="3" t="s">
        <v>1133</v>
      </c>
    </row>
    <row r="1192" spans="1:4" ht="24.75" customHeight="1">
      <c r="A1192" s="3" t="str">
        <f>"34892021110411140942813"</f>
        <v>34892021110411140942813</v>
      </c>
      <c r="B1192" s="3" t="s">
        <v>428</v>
      </c>
      <c r="C1192" s="3" t="str">
        <f>"汪春纹"</f>
        <v>汪春纹</v>
      </c>
      <c r="D1192" s="3" t="s">
        <v>1134</v>
      </c>
    </row>
    <row r="1193" spans="1:4" ht="24.75" customHeight="1">
      <c r="A1193" s="3" t="str">
        <f>"34892021110411150042814"</f>
        <v>34892021110411150042814</v>
      </c>
      <c r="B1193" s="3" t="s">
        <v>428</v>
      </c>
      <c r="C1193" s="3" t="str">
        <f>"谢家雅"</f>
        <v>谢家雅</v>
      </c>
      <c r="D1193" s="3" t="s">
        <v>1135</v>
      </c>
    </row>
    <row r="1194" spans="1:4" ht="24.75" customHeight="1">
      <c r="A1194" s="3" t="str">
        <f>"34892021110411170942823"</f>
        <v>34892021110411170942823</v>
      </c>
      <c r="B1194" s="3" t="s">
        <v>428</v>
      </c>
      <c r="C1194" s="3" t="str">
        <f>"张扬悦"</f>
        <v>张扬悦</v>
      </c>
      <c r="D1194" s="3" t="s">
        <v>1136</v>
      </c>
    </row>
    <row r="1195" spans="1:4" ht="24.75" customHeight="1">
      <c r="A1195" s="3" t="str">
        <f>"34892021110411172642825"</f>
        <v>34892021110411172642825</v>
      </c>
      <c r="B1195" s="3" t="s">
        <v>428</v>
      </c>
      <c r="C1195" s="3" t="str">
        <f>"陈玉花"</f>
        <v>陈玉花</v>
      </c>
      <c r="D1195" s="3" t="s">
        <v>1137</v>
      </c>
    </row>
    <row r="1196" spans="1:4" ht="24.75" customHeight="1">
      <c r="A1196" s="3" t="str">
        <f>"34892021110411181542826"</f>
        <v>34892021110411181542826</v>
      </c>
      <c r="B1196" s="3" t="s">
        <v>428</v>
      </c>
      <c r="C1196" s="3" t="str">
        <f>"吴景猷"</f>
        <v>吴景猷</v>
      </c>
      <c r="D1196" s="3" t="s">
        <v>1138</v>
      </c>
    </row>
    <row r="1197" spans="1:4" ht="24.75" customHeight="1">
      <c r="A1197" s="3" t="str">
        <f>"34892021110411202642828"</f>
        <v>34892021110411202642828</v>
      </c>
      <c r="B1197" s="3" t="s">
        <v>428</v>
      </c>
      <c r="C1197" s="3" t="str">
        <f>"肖佳佳"</f>
        <v>肖佳佳</v>
      </c>
      <c r="D1197" s="3" t="s">
        <v>1139</v>
      </c>
    </row>
    <row r="1198" spans="1:4" ht="24.75" customHeight="1">
      <c r="A1198" s="3" t="str">
        <f>"34892021110411210142833"</f>
        <v>34892021110411210142833</v>
      </c>
      <c r="B1198" s="3" t="s">
        <v>428</v>
      </c>
      <c r="C1198" s="3" t="str">
        <f>"周婕"</f>
        <v>周婕</v>
      </c>
      <c r="D1198" s="3" t="s">
        <v>1140</v>
      </c>
    </row>
    <row r="1199" spans="1:4" ht="24.75" customHeight="1">
      <c r="A1199" s="3" t="str">
        <f>"34892021110411211842835"</f>
        <v>34892021110411211842835</v>
      </c>
      <c r="B1199" s="3" t="s">
        <v>428</v>
      </c>
      <c r="C1199" s="3" t="str">
        <f>"张大智"</f>
        <v>张大智</v>
      </c>
      <c r="D1199" s="3" t="s">
        <v>1141</v>
      </c>
    </row>
    <row r="1200" spans="1:4" ht="24.75" customHeight="1">
      <c r="A1200" s="3" t="str">
        <f>"34892021110411222642840"</f>
        <v>34892021110411222642840</v>
      </c>
      <c r="B1200" s="3" t="s">
        <v>428</v>
      </c>
      <c r="C1200" s="3" t="str">
        <f>"李强"</f>
        <v>李强</v>
      </c>
      <c r="D1200" s="3" t="s">
        <v>1142</v>
      </c>
    </row>
    <row r="1201" spans="1:4" ht="24.75" customHeight="1">
      <c r="A1201" s="3" t="str">
        <f>"34892021110411251942850"</f>
        <v>34892021110411251942850</v>
      </c>
      <c r="B1201" s="3" t="s">
        <v>428</v>
      </c>
      <c r="C1201" s="3" t="str">
        <f>"卢运运"</f>
        <v>卢运运</v>
      </c>
      <c r="D1201" s="3" t="s">
        <v>1143</v>
      </c>
    </row>
    <row r="1202" spans="1:4" ht="24.75" customHeight="1">
      <c r="A1202" s="3" t="str">
        <f>"34892021110411273142856"</f>
        <v>34892021110411273142856</v>
      </c>
      <c r="B1202" s="3" t="s">
        <v>428</v>
      </c>
      <c r="C1202" s="3" t="str">
        <f>"郑维焕"</f>
        <v>郑维焕</v>
      </c>
      <c r="D1202" s="3" t="s">
        <v>1144</v>
      </c>
    </row>
    <row r="1203" spans="1:4" ht="24.75" customHeight="1">
      <c r="A1203" s="3" t="str">
        <f>"34892021110411283242859"</f>
        <v>34892021110411283242859</v>
      </c>
      <c r="B1203" s="3" t="s">
        <v>428</v>
      </c>
      <c r="C1203" s="3" t="str">
        <f>"黎函秀"</f>
        <v>黎函秀</v>
      </c>
      <c r="D1203" s="3" t="s">
        <v>1145</v>
      </c>
    </row>
    <row r="1204" spans="1:4" ht="24.75" customHeight="1">
      <c r="A1204" s="3" t="str">
        <f>"34892021110411310642865"</f>
        <v>34892021110411310642865</v>
      </c>
      <c r="B1204" s="3" t="s">
        <v>428</v>
      </c>
      <c r="C1204" s="3" t="str">
        <f>"李日泽"</f>
        <v>李日泽</v>
      </c>
      <c r="D1204" s="3" t="s">
        <v>708</v>
      </c>
    </row>
    <row r="1205" spans="1:4" ht="24.75" customHeight="1">
      <c r="A1205" s="3" t="str">
        <f>"34892021110411312042866"</f>
        <v>34892021110411312042866</v>
      </c>
      <c r="B1205" s="3" t="s">
        <v>428</v>
      </c>
      <c r="C1205" s="3" t="str">
        <f>"吕娜"</f>
        <v>吕娜</v>
      </c>
      <c r="D1205" s="3" t="s">
        <v>1146</v>
      </c>
    </row>
    <row r="1206" spans="1:4" ht="24.75" customHeight="1">
      <c r="A1206" s="3" t="str">
        <f>"34892021110411332342871"</f>
        <v>34892021110411332342871</v>
      </c>
      <c r="B1206" s="3" t="s">
        <v>428</v>
      </c>
      <c r="C1206" s="3" t="str">
        <f>"吴玉兰"</f>
        <v>吴玉兰</v>
      </c>
      <c r="D1206" s="3" t="s">
        <v>1147</v>
      </c>
    </row>
    <row r="1207" spans="1:4" ht="24.75" customHeight="1">
      <c r="A1207" s="3" t="str">
        <f>"34892021110411344442874"</f>
        <v>34892021110411344442874</v>
      </c>
      <c r="B1207" s="3" t="s">
        <v>428</v>
      </c>
      <c r="C1207" s="3" t="str">
        <f>"林娟"</f>
        <v>林娟</v>
      </c>
      <c r="D1207" s="3" t="s">
        <v>1148</v>
      </c>
    </row>
    <row r="1208" spans="1:4" ht="24.75" customHeight="1">
      <c r="A1208" s="3" t="str">
        <f>"34892021110411353042876"</f>
        <v>34892021110411353042876</v>
      </c>
      <c r="B1208" s="3" t="s">
        <v>428</v>
      </c>
      <c r="C1208" s="3" t="str">
        <f>"符冬"</f>
        <v>符冬</v>
      </c>
      <c r="D1208" s="3" t="s">
        <v>1149</v>
      </c>
    </row>
    <row r="1209" spans="1:4" ht="24.75" customHeight="1">
      <c r="A1209" s="3" t="str">
        <f>"34892021110411353742877"</f>
        <v>34892021110411353742877</v>
      </c>
      <c r="B1209" s="3" t="s">
        <v>428</v>
      </c>
      <c r="C1209" s="3" t="str">
        <f>"张运程"</f>
        <v>张运程</v>
      </c>
      <c r="D1209" s="3" t="s">
        <v>583</v>
      </c>
    </row>
    <row r="1210" spans="1:4" ht="24.75" customHeight="1">
      <c r="A1210" s="3" t="str">
        <f>"34892021110411360042879"</f>
        <v>34892021110411360042879</v>
      </c>
      <c r="B1210" s="3" t="s">
        <v>428</v>
      </c>
      <c r="C1210" s="3" t="str">
        <f>"吴奇"</f>
        <v>吴奇</v>
      </c>
      <c r="D1210" s="3" t="s">
        <v>1150</v>
      </c>
    </row>
    <row r="1211" spans="1:4" ht="24.75" customHeight="1">
      <c r="A1211" s="3" t="str">
        <f>"34892021110411384642889"</f>
        <v>34892021110411384642889</v>
      </c>
      <c r="B1211" s="3" t="s">
        <v>428</v>
      </c>
      <c r="C1211" s="3" t="str">
        <f>"赖洪彬"</f>
        <v>赖洪彬</v>
      </c>
      <c r="D1211" s="3" t="s">
        <v>1151</v>
      </c>
    </row>
    <row r="1212" spans="1:4" ht="24.75" customHeight="1">
      <c r="A1212" s="3" t="str">
        <f>"34892021110411421642895"</f>
        <v>34892021110411421642895</v>
      </c>
      <c r="B1212" s="3" t="s">
        <v>428</v>
      </c>
      <c r="C1212" s="3" t="str">
        <f>"文姿颖"</f>
        <v>文姿颖</v>
      </c>
      <c r="D1212" s="3" t="s">
        <v>1152</v>
      </c>
    </row>
    <row r="1213" spans="1:4" ht="24.75" customHeight="1">
      <c r="A1213" s="3" t="str">
        <f>"34892021110411432642899"</f>
        <v>34892021110411432642899</v>
      </c>
      <c r="B1213" s="3" t="s">
        <v>428</v>
      </c>
      <c r="C1213" s="3" t="str">
        <f>"黎启灿"</f>
        <v>黎启灿</v>
      </c>
      <c r="D1213" s="3" t="s">
        <v>1153</v>
      </c>
    </row>
    <row r="1214" spans="1:4" ht="24.75" customHeight="1">
      <c r="A1214" s="3" t="str">
        <f>"34892021110411440642903"</f>
        <v>34892021110411440642903</v>
      </c>
      <c r="B1214" s="3" t="s">
        <v>428</v>
      </c>
      <c r="C1214" s="3" t="str">
        <f>"王琪"</f>
        <v>王琪</v>
      </c>
      <c r="D1214" s="3" t="s">
        <v>1154</v>
      </c>
    </row>
    <row r="1215" spans="1:4" ht="24.75" customHeight="1">
      <c r="A1215" s="3" t="str">
        <f>"34892021110411484342912"</f>
        <v>34892021110411484342912</v>
      </c>
      <c r="B1215" s="3" t="s">
        <v>428</v>
      </c>
      <c r="C1215" s="3" t="str">
        <f>"温希月"</f>
        <v>温希月</v>
      </c>
      <c r="D1215" s="3" t="s">
        <v>1155</v>
      </c>
    </row>
    <row r="1216" spans="1:4" ht="24.75" customHeight="1">
      <c r="A1216" s="3" t="str">
        <f>"34892021110411505442918"</f>
        <v>34892021110411505442918</v>
      </c>
      <c r="B1216" s="3" t="s">
        <v>428</v>
      </c>
      <c r="C1216" s="3" t="str">
        <f>"王上建"</f>
        <v>王上建</v>
      </c>
      <c r="D1216" s="3" t="s">
        <v>1156</v>
      </c>
    </row>
    <row r="1217" spans="1:4" ht="24.75" customHeight="1">
      <c r="A1217" s="3" t="str">
        <f>"34892021110411571142927"</f>
        <v>34892021110411571142927</v>
      </c>
      <c r="B1217" s="3" t="s">
        <v>428</v>
      </c>
      <c r="C1217" s="3" t="str">
        <f>"林万森"</f>
        <v>林万森</v>
      </c>
      <c r="D1217" s="3" t="s">
        <v>1157</v>
      </c>
    </row>
    <row r="1218" spans="1:4" ht="24.75" customHeight="1">
      <c r="A1218" s="3" t="str">
        <f>"34892021110412001442934"</f>
        <v>34892021110412001442934</v>
      </c>
      <c r="B1218" s="3" t="s">
        <v>428</v>
      </c>
      <c r="C1218" s="3" t="str">
        <f>"黄金妮"</f>
        <v>黄金妮</v>
      </c>
      <c r="D1218" s="3" t="s">
        <v>642</v>
      </c>
    </row>
    <row r="1219" spans="1:4" ht="24.75" customHeight="1">
      <c r="A1219" s="3" t="str">
        <f>"34892021110412034042941"</f>
        <v>34892021110412034042941</v>
      </c>
      <c r="B1219" s="3" t="s">
        <v>428</v>
      </c>
      <c r="C1219" s="3" t="str">
        <f>"周峻平"</f>
        <v>周峻平</v>
      </c>
      <c r="D1219" s="3" t="s">
        <v>1158</v>
      </c>
    </row>
    <row r="1220" spans="1:4" ht="24.75" customHeight="1">
      <c r="A1220" s="3" t="str">
        <f>"34892021110412114542956"</f>
        <v>34892021110412114542956</v>
      </c>
      <c r="B1220" s="3" t="s">
        <v>428</v>
      </c>
      <c r="C1220" s="3" t="str">
        <f>"吴运尊"</f>
        <v>吴运尊</v>
      </c>
      <c r="D1220" s="3" t="s">
        <v>1159</v>
      </c>
    </row>
    <row r="1221" spans="1:4" ht="24.75" customHeight="1">
      <c r="A1221" s="3" t="str">
        <f>"34892021110412125942959"</f>
        <v>34892021110412125942959</v>
      </c>
      <c r="B1221" s="3" t="s">
        <v>428</v>
      </c>
      <c r="C1221" s="3" t="str">
        <f>"许振师"</f>
        <v>许振师</v>
      </c>
      <c r="D1221" s="3" t="s">
        <v>1160</v>
      </c>
    </row>
    <row r="1222" spans="1:4" ht="24.75" customHeight="1">
      <c r="A1222" s="3" t="str">
        <f>"34892021110412180542969"</f>
        <v>34892021110412180542969</v>
      </c>
      <c r="B1222" s="3" t="s">
        <v>428</v>
      </c>
      <c r="C1222" s="3" t="str">
        <f>"卓上胜"</f>
        <v>卓上胜</v>
      </c>
      <c r="D1222" s="3" t="s">
        <v>1161</v>
      </c>
    </row>
    <row r="1223" spans="1:4" ht="24.75" customHeight="1">
      <c r="A1223" s="3" t="str">
        <f>"34892021110412252642978"</f>
        <v>34892021110412252642978</v>
      </c>
      <c r="B1223" s="3" t="s">
        <v>428</v>
      </c>
      <c r="C1223" s="3" t="str">
        <f>"张宏清"</f>
        <v>张宏清</v>
      </c>
      <c r="D1223" s="3" t="s">
        <v>1162</v>
      </c>
    </row>
    <row r="1224" spans="1:4" ht="24.75" customHeight="1">
      <c r="A1224" s="3" t="str">
        <f>"34892021110412281842988"</f>
        <v>34892021110412281842988</v>
      </c>
      <c r="B1224" s="3" t="s">
        <v>428</v>
      </c>
      <c r="C1224" s="3" t="str">
        <f>"沈玉"</f>
        <v>沈玉</v>
      </c>
      <c r="D1224" s="3" t="s">
        <v>1163</v>
      </c>
    </row>
    <row r="1225" spans="1:4" ht="24.75" customHeight="1">
      <c r="A1225" s="3" t="str">
        <f>"34892021110412341842994"</f>
        <v>34892021110412341842994</v>
      </c>
      <c r="B1225" s="3" t="s">
        <v>428</v>
      </c>
      <c r="C1225" s="3" t="str">
        <f>"王铭雷"</f>
        <v>王铭雷</v>
      </c>
      <c r="D1225" s="3" t="s">
        <v>1164</v>
      </c>
    </row>
    <row r="1226" spans="1:4" ht="24.75" customHeight="1">
      <c r="A1226" s="3" t="str">
        <f>"34892021110412343342995"</f>
        <v>34892021110412343342995</v>
      </c>
      <c r="B1226" s="3" t="s">
        <v>428</v>
      </c>
      <c r="C1226" s="3" t="str">
        <f>"龙柳霜"</f>
        <v>龙柳霜</v>
      </c>
      <c r="D1226" s="3" t="s">
        <v>1165</v>
      </c>
    </row>
    <row r="1227" spans="1:4" ht="24.75" customHeight="1">
      <c r="A1227" s="3" t="str">
        <f>"34892021110412364542998"</f>
        <v>34892021110412364542998</v>
      </c>
      <c r="B1227" s="3" t="s">
        <v>428</v>
      </c>
      <c r="C1227" s="3" t="str">
        <f>"王佳鹤"</f>
        <v>王佳鹤</v>
      </c>
      <c r="D1227" s="3" t="s">
        <v>1166</v>
      </c>
    </row>
    <row r="1228" spans="1:4" ht="24.75" customHeight="1">
      <c r="A1228" s="3" t="str">
        <f>"34892021110412383342999"</f>
        <v>34892021110412383342999</v>
      </c>
      <c r="B1228" s="3" t="s">
        <v>428</v>
      </c>
      <c r="C1228" s="3" t="str">
        <f>"李祥军"</f>
        <v>李祥军</v>
      </c>
      <c r="D1228" s="3" t="s">
        <v>1109</v>
      </c>
    </row>
    <row r="1229" spans="1:4" ht="24.75" customHeight="1">
      <c r="A1229" s="3" t="str">
        <f>"34892021110412410443000"</f>
        <v>34892021110412410443000</v>
      </c>
      <c r="B1229" s="3" t="s">
        <v>428</v>
      </c>
      <c r="C1229" s="3" t="str">
        <f>"蔡夫谦"</f>
        <v>蔡夫谦</v>
      </c>
      <c r="D1229" s="3" t="s">
        <v>1167</v>
      </c>
    </row>
    <row r="1230" spans="1:4" ht="24.75" customHeight="1">
      <c r="A1230" s="3" t="str">
        <f>"34892021110412411143001"</f>
        <v>34892021110412411143001</v>
      </c>
      <c r="B1230" s="3" t="s">
        <v>428</v>
      </c>
      <c r="C1230" s="3" t="str">
        <f>"虞雨川"</f>
        <v>虞雨川</v>
      </c>
      <c r="D1230" s="3" t="s">
        <v>1168</v>
      </c>
    </row>
    <row r="1231" spans="1:4" ht="24.75" customHeight="1">
      <c r="A1231" s="3" t="str">
        <f>"34892021110412443143006"</f>
        <v>34892021110412443143006</v>
      </c>
      <c r="B1231" s="3" t="s">
        <v>428</v>
      </c>
      <c r="C1231" s="3" t="str">
        <f>"邓家佳"</f>
        <v>邓家佳</v>
      </c>
      <c r="D1231" s="3" t="s">
        <v>1169</v>
      </c>
    </row>
    <row r="1232" spans="1:4" ht="24.75" customHeight="1">
      <c r="A1232" s="3" t="str">
        <f>"34892021110412465543010"</f>
        <v>34892021110412465543010</v>
      </c>
      <c r="B1232" s="3" t="s">
        <v>428</v>
      </c>
      <c r="C1232" s="3" t="str">
        <f>"吴美雅"</f>
        <v>吴美雅</v>
      </c>
      <c r="D1232" s="3" t="s">
        <v>1170</v>
      </c>
    </row>
    <row r="1233" spans="1:4" ht="24.75" customHeight="1">
      <c r="A1233" s="3" t="str">
        <f>"34892021110412481843014"</f>
        <v>34892021110412481843014</v>
      </c>
      <c r="B1233" s="3" t="s">
        <v>428</v>
      </c>
      <c r="C1233" s="3" t="str">
        <f>"刘梦奇"</f>
        <v>刘梦奇</v>
      </c>
      <c r="D1233" s="3" t="s">
        <v>1171</v>
      </c>
    </row>
    <row r="1234" spans="1:4" ht="24.75" customHeight="1">
      <c r="A1234" s="3" t="str">
        <f>"34892021110412491843018"</f>
        <v>34892021110412491843018</v>
      </c>
      <c r="B1234" s="3" t="s">
        <v>428</v>
      </c>
      <c r="C1234" s="3" t="str">
        <f>"叶海燕"</f>
        <v>叶海燕</v>
      </c>
      <c r="D1234" s="3" t="s">
        <v>1172</v>
      </c>
    </row>
    <row r="1235" spans="1:4" ht="24.75" customHeight="1">
      <c r="A1235" s="3" t="str">
        <f>"34892021110412514543022"</f>
        <v>34892021110412514543022</v>
      </c>
      <c r="B1235" s="3" t="s">
        <v>428</v>
      </c>
      <c r="C1235" s="3" t="str">
        <f>"吴含秀"</f>
        <v>吴含秀</v>
      </c>
      <c r="D1235" s="3" t="s">
        <v>1173</v>
      </c>
    </row>
    <row r="1236" spans="1:4" ht="24.75" customHeight="1">
      <c r="A1236" s="3" t="str">
        <f>"34892021110412550343027"</f>
        <v>34892021110412550343027</v>
      </c>
      <c r="B1236" s="3" t="s">
        <v>428</v>
      </c>
      <c r="C1236" s="3" t="str">
        <f>"蔡笃颖"</f>
        <v>蔡笃颖</v>
      </c>
      <c r="D1236" s="3" t="s">
        <v>1174</v>
      </c>
    </row>
    <row r="1237" spans="1:4" ht="24.75" customHeight="1">
      <c r="A1237" s="3" t="str">
        <f>"34892021110412564443034"</f>
        <v>34892021110412564443034</v>
      </c>
      <c r="B1237" s="3" t="s">
        <v>428</v>
      </c>
      <c r="C1237" s="3" t="str">
        <f>"陈萍萍"</f>
        <v>陈萍萍</v>
      </c>
      <c r="D1237" s="3" t="s">
        <v>1175</v>
      </c>
    </row>
    <row r="1238" spans="1:4" ht="24.75" customHeight="1">
      <c r="A1238" s="3" t="str">
        <f>"34892021110412564543035"</f>
        <v>34892021110412564543035</v>
      </c>
      <c r="B1238" s="3" t="s">
        <v>428</v>
      </c>
      <c r="C1238" s="3" t="str">
        <f>"周梦"</f>
        <v>周梦</v>
      </c>
      <c r="D1238" s="3" t="s">
        <v>1176</v>
      </c>
    </row>
    <row r="1239" spans="1:4" ht="24.75" customHeight="1">
      <c r="A1239" s="3" t="str">
        <f>"34892021110413024043047"</f>
        <v>34892021110413024043047</v>
      </c>
      <c r="B1239" s="3" t="s">
        <v>428</v>
      </c>
      <c r="C1239" s="3" t="str">
        <f>"黎蓉娇"</f>
        <v>黎蓉娇</v>
      </c>
      <c r="D1239" s="3" t="s">
        <v>1177</v>
      </c>
    </row>
    <row r="1240" spans="1:4" ht="24.75" customHeight="1">
      <c r="A1240" s="3" t="str">
        <f>"34892021110413051343052"</f>
        <v>34892021110413051343052</v>
      </c>
      <c r="B1240" s="3" t="s">
        <v>428</v>
      </c>
      <c r="C1240" s="3" t="str">
        <f>"全正君"</f>
        <v>全正君</v>
      </c>
      <c r="D1240" s="3" t="s">
        <v>1178</v>
      </c>
    </row>
    <row r="1241" spans="1:4" ht="24.75" customHeight="1">
      <c r="A1241" s="3" t="str">
        <f>"34892021110413053343053"</f>
        <v>34892021110413053343053</v>
      </c>
      <c r="B1241" s="3" t="s">
        <v>428</v>
      </c>
      <c r="C1241" s="3" t="str">
        <f>"王丽红"</f>
        <v>王丽红</v>
      </c>
      <c r="D1241" s="3" t="s">
        <v>1179</v>
      </c>
    </row>
    <row r="1242" spans="1:4" ht="24.75" customHeight="1">
      <c r="A1242" s="3" t="str">
        <f>"34892021110413060243054"</f>
        <v>34892021110413060243054</v>
      </c>
      <c r="B1242" s="3" t="s">
        <v>428</v>
      </c>
      <c r="C1242" s="3" t="str">
        <f>"许晖"</f>
        <v>许晖</v>
      </c>
      <c r="D1242" s="3" t="s">
        <v>1180</v>
      </c>
    </row>
    <row r="1243" spans="1:4" ht="24.75" customHeight="1">
      <c r="A1243" s="3" t="str">
        <f>"34892021110413081343059"</f>
        <v>34892021110413081343059</v>
      </c>
      <c r="B1243" s="3" t="s">
        <v>428</v>
      </c>
      <c r="C1243" s="3" t="str">
        <f>"梁颖"</f>
        <v>梁颖</v>
      </c>
      <c r="D1243" s="3" t="s">
        <v>1181</v>
      </c>
    </row>
    <row r="1244" spans="1:4" ht="24.75" customHeight="1">
      <c r="A1244" s="3" t="str">
        <f>"34892021110413264343090"</f>
        <v>34892021110413264343090</v>
      </c>
      <c r="B1244" s="3" t="s">
        <v>428</v>
      </c>
      <c r="C1244" s="3" t="str">
        <f>"李鹏"</f>
        <v>李鹏</v>
      </c>
      <c r="D1244" s="3" t="s">
        <v>1182</v>
      </c>
    </row>
    <row r="1245" spans="1:4" ht="24.75" customHeight="1">
      <c r="A1245" s="3" t="str">
        <f>"34892021110413321843099"</f>
        <v>34892021110413321843099</v>
      </c>
      <c r="B1245" s="3" t="s">
        <v>428</v>
      </c>
      <c r="C1245" s="3" t="str">
        <f>"陈月莹"</f>
        <v>陈月莹</v>
      </c>
      <c r="D1245" s="3" t="s">
        <v>1183</v>
      </c>
    </row>
    <row r="1246" spans="1:4" ht="24.75" customHeight="1">
      <c r="A1246" s="3" t="str">
        <f>"34892021110413334443104"</f>
        <v>34892021110413334443104</v>
      </c>
      <c r="B1246" s="3" t="s">
        <v>428</v>
      </c>
      <c r="C1246" s="3" t="str">
        <f>"周天亮"</f>
        <v>周天亮</v>
      </c>
      <c r="D1246" s="3" t="s">
        <v>1184</v>
      </c>
    </row>
    <row r="1247" spans="1:4" ht="24.75" customHeight="1">
      <c r="A1247" s="3" t="str">
        <f>"34892021110413350643108"</f>
        <v>34892021110413350643108</v>
      </c>
      <c r="B1247" s="3" t="s">
        <v>428</v>
      </c>
      <c r="C1247" s="3" t="str">
        <f>"王南婉"</f>
        <v>王南婉</v>
      </c>
      <c r="D1247" s="3" t="s">
        <v>161</v>
      </c>
    </row>
    <row r="1248" spans="1:4" ht="24.75" customHeight="1">
      <c r="A1248" s="3" t="str">
        <f>"34892021110413363043110"</f>
        <v>34892021110413363043110</v>
      </c>
      <c r="B1248" s="3" t="s">
        <v>428</v>
      </c>
      <c r="C1248" s="3" t="str">
        <f>"韩程"</f>
        <v>韩程</v>
      </c>
      <c r="D1248" s="3" t="s">
        <v>1185</v>
      </c>
    </row>
    <row r="1249" spans="1:4" ht="24.75" customHeight="1">
      <c r="A1249" s="3" t="str">
        <f>"34892021110413560743131"</f>
        <v>34892021110413560743131</v>
      </c>
      <c r="B1249" s="3" t="s">
        <v>428</v>
      </c>
      <c r="C1249" s="3" t="str">
        <f>"田健"</f>
        <v>田健</v>
      </c>
      <c r="D1249" s="3" t="s">
        <v>1186</v>
      </c>
    </row>
    <row r="1250" spans="1:4" ht="24.75" customHeight="1">
      <c r="A1250" s="3" t="str">
        <f>"34892021110413563543133"</f>
        <v>34892021110413563543133</v>
      </c>
      <c r="B1250" s="3" t="s">
        <v>428</v>
      </c>
      <c r="C1250" s="3" t="str">
        <f>"陈小慧"</f>
        <v>陈小慧</v>
      </c>
      <c r="D1250" s="3" t="s">
        <v>97</v>
      </c>
    </row>
    <row r="1251" spans="1:4" ht="24.75" customHeight="1">
      <c r="A1251" s="3" t="str">
        <f>"34892021110414054543141"</f>
        <v>34892021110414054543141</v>
      </c>
      <c r="B1251" s="3" t="s">
        <v>428</v>
      </c>
      <c r="C1251" s="3" t="str">
        <f>"江紫微"</f>
        <v>江紫微</v>
      </c>
      <c r="D1251" s="3" t="s">
        <v>1187</v>
      </c>
    </row>
    <row r="1252" spans="1:4" ht="24.75" customHeight="1">
      <c r="A1252" s="3" t="str">
        <f>"34892021110414060143142"</f>
        <v>34892021110414060143142</v>
      </c>
      <c r="B1252" s="3" t="s">
        <v>428</v>
      </c>
      <c r="C1252" s="3" t="str">
        <f>"林秀霞"</f>
        <v>林秀霞</v>
      </c>
      <c r="D1252" s="3" t="s">
        <v>1188</v>
      </c>
    </row>
    <row r="1253" spans="1:4" ht="24.75" customHeight="1">
      <c r="A1253" s="3" t="str">
        <f>"34892021110414101843149"</f>
        <v>34892021110414101843149</v>
      </c>
      <c r="B1253" s="3" t="s">
        <v>428</v>
      </c>
      <c r="C1253" s="3" t="str">
        <f>"周洁"</f>
        <v>周洁</v>
      </c>
      <c r="D1253" s="3" t="s">
        <v>1189</v>
      </c>
    </row>
    <row r="1254" spans="1:4" ht="24.75" customHeight="1">
      <c r="A1254" s="3" t="str">
        <f>"34892021110414144943157"</f>
        <v>34892021110414144943157</v>
      </c>
      <c r="B1254" s="3" t="s">
        <v>428</v>
      </c>
      <c r="C1254" s="3" t="str">
        <f>"刘波"</f>
        <v>刘波</v>
      </c>
      <c r="D1254" s="3" t="s">
        <v>1190</v>
      </c>
    </row>
    <row r="1255" spans="1:4" ht="24.75" customHeight="1">
      <c r="A1255" s="3" t="str">
        <f>"34892021110414175343161"</f>
        <v>34892021110414175343161</v>
      </c>
      <c r="B1255" s="3" t="s">
        <v>428</v>
      </c>
      <c r="C1255" s="3" t="str">
        <f>"许洛玮"</f>
        <v>许洛玮</v>
      </c>
      <c r="D1255" s="3" t="s">
        <v>1191</v>
      </c>
    </row>
    <row r="1256" spans="1:4" ht="24.75" customHeight="1">
      <c r="A1256" s="3" t="str">
        <f>"34892021110414331543187"</f>
        <v>34892021110414331543187</v>
      </c>
      <c r="B1256" s="3" t="s">
        <v>428</v>
      </c>
      <c r="C1256" s="3" t="str">
        <f>"刘宝立"</f>
        <v>刘宝立</v>
      </c>
      <c r="D1256" s="3" t="s">
        <v>1192</v>
      </c>
    </row>
    <row r="1257" spans="1:4" ht="24.75" customHeight="1">
      <c r="A1257" s="3" t="str">
        <f>"34892021110414334243189"</f>
        <v>34892021110414334243189</v>
      </c>
      <c r="B1257" s="3" t="s">
        <v>428</v>
      </c>
      <c r="C1257" s="3" t="str">
        <f>"王小强"</f>
        <v>王小强</v>
      </c>
      <c r="D1257" s="3" t="s">
        <v>1193</v>
      </c>
    </row>
    <row r="1258" spans="1:4" ht="24.75" customHeight="1">
      <c r="A1258" s="3" t="str">
        <f>"34892021110414362043197"</f>
        <v>34892021110414362043197</v>
      </c>
      <c r="B1258" s="3" t="s">
        <v>428</v>
      </c>
      <c r="C1258" s="3" t="str">
        <f>"蔡博"</f>
        <v>蔡博</v>
      </c>
      <c r="D1258" s="3" t="s">
        <v>1194</v>
      </c>
    </row>
    <row r="1259" spans="1:4" ht="24.75" customHeight="1">
      <c r="A1259" s="3" t="str">
        <f>"34892021110414404043207"</f>
        <v>34892021110414404043207</v>
      </c>
      <c r="B1259" s="3" t="s">
        <v>428</v>
      </c>
      <c r="C1259" s="3" t="str">
        <f>"陈梅颜"</f>
        <v>陈梅颜</v>
      </c>
      <c r="D1259" s="3" t="s">
        <v>1195</v>
      </c>
    </row>
    <row r="1260" spans="1:4" ht="24.75" customHeight="1">
      <c r="A1260" s="3" t="str">
        <f>"34892021110414414743213"</f>
        <v>34892021110414414743213</v>
      </c>
      <c r="B1260" s="3" t="s">
        <v>428</v>
      </c>
      <c r="C1260" s="3" t="str">
        <f>"刘美珍"</f>
        <v>刘美珍</v>
      </c>
      <c r="D1260" s="3" t="s">
        <v>1196</v>
      </c>
    </row>
    <row r="1261" spans="1:4" ht="24.75" customHeight="1">
      <c r="A1261" s="3" t="str">
        <f>"34892021110414415043215"</f>
        <v>34892021110414415043215</v>
      </c>
      <c r="B1261" s="3" t="s">
        <v>428</v>
      </c>
      <c r="C1261" s="3" t="str">
        <f>"利声柱"</f>
        <v>利声柱</v>
      </c>
      <c r="D1261" s="3" t="s">
        <v>1197</v>
      </c>
    </row>
    <row r="1262" spans="1:4" ht="24.75" customHeight="1">
      <c r="A1262" s="3" t="str">
        <f>"34892021110414444743222"</f>
        <v>34892021110414444743222</v>
      </c>
      <c r="B1262" s="3" t="s">
        <v>428</v>
      </c>
      <c r="C1262" s="3" t="str">
        <f>"高新虎"</f>
        <v>高新虎</v>
      </c>
      <c r="D1262" s="3" t="s">
        <v>1198</v>
      </c>
    </row>
    <row r="1263" spans="1:4" ht="24.75" customHeight="1">
      <c r="A1263" s="3" t="str">
        <f>"34892021110414494943230"</f>
        <v>34892021110414494943230</v>
      </c>
      <c r="B1263" s="3" t="s">
        <v>428</v>
      </c>
      <c r="C1263" s="3" t="str">
        <f>"蔡於顿"</f>
        <v>蔡於顿</v>
      </c>
      <c r="D1263" s="3" t="s">
        <v>1199</v>
      </c>
    </row>
    <row r="1264" spans="1:4" ht="24.75" customHeight="1">
      <c r="A1264" s="3" t="str">
        <f>"34892021110414510843233"</f>
        <v>34892021110414510843233</v>
      </c>
      <c r="B1264" s="3" t="s">
        <v>428</v>
      </c>
      <c r="C1264" s="3" t="str">
        <f>"文开鹏"</f>
        <v>文开鹏</v>
      </c>
      <c r="D1264" s="3" t="s">
        <v>1200</v>
      </c>
    </row>
    <row r="1265" spans="1:4" ht="24.75" customHeight="1">
      <c r="A1265" s="3" t="str">
        <f>"34892021110414523443234"</f>
        <v>34892021110414523443234</v>
      </c>
      <c r="B1265" s="3" t="s">
        <v>428</v>
      </c>
      <c r="C1265" s="3" t="str">
        <f>"冼基南"</f>
        <v>冼基南</v>
      </c>
      <c r="D1265" s="3" t="s">
        <v>1201</v>
      </c>
    </row>
    <row r="1266" spans="1:4" ht="24.75" customHeight="1">
      <c r="A1266" s="3" t="str">
        <f>"34892021110414540943236"</f>
        <v>34892021110414540943236</v>
      </c>
      <c r="B1266" s="3" t="s">
        <v>428</v>
      </c>
      <c r="C1266" s="3" t="str">
        <f>"谢金辉"</f>
        <v>谢金辉</v>
      </c>
      <c r="D1266" s="3" t="s">
        <v>1202</v>
      </c>
    </row>
    <row r="1267" spans="1:4" ht="24.75" customHeight="1">
      <c r="A1267" s="3" t="str">
        <f>"34892021110414552243240"</f>
        <v>34892021110414552243240</v>
      </c>
      <c r="B1267" s="3" t="s">
        <v>428</v>
      </c>
      <c r="C1267" s="3" t="str">
        <f>"李青霞"</f>
        <v>李青霞</v>
      </c>
      <c r="D1267" s="3" t="s">
        <v>1203</v>
      </c>
    </row>
    <row r="1268" spans="1:4" ht="24.75" customHeight="1">
      <c r="A1268" s="3" t="str">
        <f>"34892021110414555943241"</f>
        <v>34892021110414555943241</v>
      </c>
      <c r="B1268" s="3" t="s">
        <v>428</v>
      </c>
      <c r="C1268" s="3" t="str">
        <f>"林洗鹏"</f>
        <v>林洗鹏</v>
      </c>
      <c r="D1268" s="3" t="s">
        <v>1204</v>
      </c>
    </row>
    <row r="1269" spans="1:4" ht="24.75" customHeight="1">
      <c r="A1269" s="3" t="str">
        <f>"34892021110414561343244"</f>
        <v>34892021110414561343244</v>
      </c>
      <c r="B1269" s="3" t="s">
        <v>428</v>
      </c>
      <c r="C1269" s="3" t="str">
        <f>"  何发川"</f>
        <v>  何发川</v>
      </c>
      <c r="D1269" s="3" t="s">
        <v>1205</v>
      </c>
    </row>
    <row r="1270" spans="1:4" ht="24.75" customHeight="1">
      <c r="A1270" s="3" t="str">
        <f>"34892021110414564543245"</f>
        <v>34892021110414564543245</v>
      </c>
      <c r="B1270" s="3" t="s">
        <v>428</v>
      </c>
      <c r="C1270" s="3" t="str">
        <f>"韦林利"</f>
        <v>韦林利</v>
      </c>
      <c r="D1270" s="3" t="s">
        <v>1206</v>
      </c>
    </row>
    <row r="1271" spans="1:4" ht="24.75" customHeight="1">
      <c r="A1271" s="3" t="str">
        <f>"34892021110414591243248"</f>
        <v>34892021110414591243248</v>
      </c>
      <c r="B1271" s="3" t="s">
        <v>428</v>
      </c>
      <c r="C1271" s="3" t="str">
        <f>"王金桢"</f>
        <v>王金桢</v>
      </c>
      <c r="D1271" s="3" t="s">
        <v>1207</v>
      </c>
    </row>
    <row r="1272" spans="1:4" ht="24.75" customHeight="1">
      <c r="A1272" s="3" t="str">
        <f>"34892021110414595743249"</f>
        <v>34892021110414595743249</v>
      </c>
      <c r="B1272" s="3" t="s">
        <v>428</v>
      </c>
      <c r="C1272" s="3" t="str">
        <f>"李小丽"</f>
        <v>李小丽</v>
      </c>
      <c r="D1272" s="3" t="s">
        <v>1208</v>
      </c>
    </row>
    <row r="1273" spans="1:4" ht="24.75" customHeight="1">
      <c r="A1273" s="3" t="str">
        <f>"34892021110415010243252"</f>
        <v>34892021110415010243252</v>
      </c>
      <c r="B1273" s="3" t="s">
        <v>428</v>
      </c>
      <c r="C1273" s="3" t="str">
        <f>"朱声泽"</f>
        <v>朱声泽</v>
      </c>
      <c r="D1273" s="3" t="s">
        <v>1174</v>
      </c>
    </row>
    <row r="1274" spans="1:4" ht="24.75" customHeight="1">
      <c r="A1274" s="3" t="str">
        <f>"34892021110415030543259"</f>
        <v>34892021110415030543259</v>
      </c>
      <c r="B1274" s="3" t="s">
        <v>428</v>
      </c>
      <c r="C1274" s="3" t="str">
        <f>"李嘉嘉"</f>
        <v>李嘉嘉</v>
      </c>
      <c r="D1274" s="3" t="s">
        <v>1209</v>
      </c>
    </row>
    <row r="1275" spans="1:4" ht="24.75" customHeight="1">
      <c r="A1275" s="3" t="str">
        <f>"34892021110415040243260"</f>
        <v>34892021110415040243260</v>
      </c>
      <c r="B1275" s="3" t="s">
        <v>428</v>
      </c>
      <c r="C1275" s="3" t="str">
        <f>"王茹"</f>
        <v>王茹</v>
      </c>
      <c r="D1275" s="3" t="s">
        <v>1210</v>
      </c>
    </row>
    <row r="1276" spans="1:4" ht="24.75" customHeight="1">
      <c r="A1276" s="3" t="str">
        <f>"34892021110415045143262"</f>
        <v>34892021110415045143262</v>
      </c>
      <c r="B1276" s="3" t="s">
        <v>428</v>
      </c>
      <c r="C1276" s="3" t="str">
        <f>"吴冠润"</f>
        <v>吴冠润</v>
      </c>
      <c r="D1276" s="3" t="s">
        <v>1211</v>
      </c>
    </row>
    <row r="1277" spans="1:4" ht="24.75" customHeight="1">
      <c r="A1277" s="3" t="str">
        <f>"34892021110415143343293"</f>
        <v>34892021110415143343293</v>
      </c>
      <c r="B1277" s="3" t="s">
        <v>428</v>
      </c>
      <c r="C1277" s="3" t="str">
        <f>"陈兴保"</f>
        <v>陈兴保</v>
      </c>
      <c r="D1277" s="3" t="s">
        <v>1212</v>
      </c>
    </row>
    <row r="1278" spans="1:4" ht="24.75" customHeight="1">
      <c r="A1278" s="3" t="str">
        <f>"34892021110415155543294"</f>
        <v>34892021110415155543294</v>
      </c>
      <c r="B1278" s="3" t="s">
        <v>428</v>
      </c>
      <c r="C1278" s="3" t="str">
        <f>"卢修福"</f>
        <v>卢修福</v>
      </c>
      <c r="D1278" s="3" t="s">
        <v>1213</v>
      </c>
    </row>
    <row r="1279" spans="1:4" ht="24.75" customHeight="1">
      <c r="A1279" s="3" t="str">
        <f>"34892021110415163143297"</f>
        <v>34892021110415163143297</v>
      </c>
      <c r="B1279" s="3" t="s">
        <v>428</v>
      </c>
      <c r="C1279" s="3" t="str">
        <f>"李昂"</f>
        <v>李昂</v>
      </c>
      <c r="D1279" s="3" t="s">
        <v>1214</v>
      </c>
    </row>
    <row r="1280" spans="1:4" ht="24.75" customHeight="1">
      <c r="A1280" s="3" t="str">
        <f>"34892021110415190543304"</f>
        <v>34892021110415190543304</v>
      </c>
      <c r="B1280" s="3" t="s">
        <v>428</v>
      </c>
      <c r="C1280" s="3" t="str">
        <f>"吴菊"</f>
        <v>吴菊</v>
      </c>
      <c r="D1280" s="3" t="s">
        <v>1215</v>
      </c>
    </row>
    <row r="1281" spans="1:4" ht="24.75" customHeight="1">
      <c r="A1281" s="3" t="str">
        <f>"34892021110415205343311"</f>
        <v>34892021110415205343311</v>
      </c>
      <c r="B1281" s="3" t="s">
        <v>428</v>
      </c>
      <c r="C1281" s="3" t="str">
        <f>"郑佳华"</f>
        <v>郑佳华</v>
      </c>
      <c r="D1281" s="3" t="s">
        <v>1216</v>
      </c>
    </row>
    <row r="1282" spans="1:4" ht="24.75" customHeight="1">
      <c r="A1282" s="3" t="str">
        <f>"34892021110415225643320"</f>
        <v>34892021110415225643320</v>
      </c>
      <c r="B1282" s="3" t="s">
        <v>428</v>
      </c>
      <c r="C1282" s="3" t="str">
        <f>"赵侣娜"</f>
        <v>赵侣娜</v>
      </c>
      <c r="D1282" s="3" t="s">
        <v>1217</v>
      </c>
    </row>
    <row r="1283" spans="1:4" ht="24.75" customHeight="1">
      <c r="A1283" s="3" t="str">
        <f>"34892021110415231443324"</f>
        <v>34892021110415231443324</v>
      </c>
      <c r="B1283" s="3" t="s">
        <v>428</v>
      </c>
      <c r="C1283" s="3" t="str">
        <f>"吴万惠"</f>
        <v>吴万惠</v>
      </c>
      <c r="D1283" s="3" t="s">
        <v>1218</v>
      </c>
    </row>
    <row r="1284" spans="1:4" ht="24.75" customHeight="1">
      <c r="A1284" s="3" t="str">
        <f>"34892021110415244743330"</f>
        <v>34892021110415244743330</v>
      </c>
      <c r="B1284" s="3" t="s">
        <v>428</v>
      </c>
      <c r="C1284" s="3" t="str">
        <f>"李忠骅"</f>
        <v>李忠骅</v>
      </c>
      <c r="D1284" s="3" t="s">
        <v>1219</v>
      </c>
    </row>
    <row r="1285" spans="1:4" ht="24.75" customHeight="1">
      <c r="A1285" s="3" t="str">
        <f>"34892021110415265343333"</f>
        <v>34892021110415265343333</v>
      </c>
      <c r="B1285" s="3" t="s">
        <v>428</v>
      </c>
      <c r="C1285" s="3" t="str">
        <f>"刘富宝"</f>
        <v>刘富宝</v>
      </c>
      <c r="D1285" s="3" t="s">
        <v>1220</v>
      </c>
    </row>
    <row r="1286" spans="1:4" ht="24.75" customHeight="1">
      <c r="A1286" s="3" t="str">
        <f>"34892021110415281043336"</f>
        <v>34892021110415281043336</v>
      </c>
      <c r="B1286" s="3" t="s">
        <v>428</v>
      </c>
      <c r="C1286" s="3" t="str">
        <f>"吕锡娜"</f>
        <v>吕锡娜</v>
      </c>
      <c r="D1286" s="3" t="s">
        <v>1221</v>
      </c>
    </row>
    <row r="1287" spans="1:4" ht="24.75" customHeight="1">
      <c r="A1287" s="3" t="str">
        <f>"34892021110415290243339"</f>
        <v>34892021110415290243339</v>
      </c>
      <c r="B1287" s="3" t="s">
        <v>428</v>
      </c>
      <c r="C1287" s="3" t="str">
        <f>"王宋玲"</f>
        <v>王宋玲</v>
      </c>
      <c r="D1287" s="3" t="s">
        <v>1222</v>
      </c>
    </row>
    <row r="1288" spans="1:4" ht="24.75" customHeight="1">
      <c r="A1288" s="3" t="str">
        <f>"34892021110415291343340"</f>
        <v>34892021110415291343340</v>
      </c>
      <c r="B1288" s="3" t="s">
        <v>428</v>
      </c>
      <c r="C1288" s="3" t="str">
        <f>"王槐政"</f>
        <v>王槐政</v>
      </c>
      <c r="D1288" s="3" t="s">
        <v>1223</v>
      </c>
    </row>
    <row r="1289" spans="1:4" ht="24.75" customHeight="1">
      <c r="A1289" s="3" t="str">
        <f>"34892021110415300943344"</f>
        <v>34892021110415300943344</v>
      </c>
      <c r="B1289" s="3" t="s">
        <v>428</v>
      </c>
      <c r="C1289" s="3" t="str">
        <f>"周德炯"</f>
        <v>周德炯</v>
      </c>
      <c r="D1289" s="3" t="s">
        <v>1224</v>
      </c>
    </row>
    <row r="1290" spans="1:4" ht="24.75" customHeight="1">
      <c r="A1290" s="3" t="str">
        <f>"34892021110415353943358"</f>
        <v>34892021110415353943358</v>
      </c>
      <c r="B1290" s="3" t="s">
        <v>428</v>
      </c>
      <c r="C1290" s="3" t="str">
        <f>"羊洪滩"</f>
        <v>羊洪滩</v>
      </c>
      <c r="D1290" s="3" t="s">
        <v>1225</v>
      </c>
    </row>
    <row r="1291" spans="1:4" ht="24.75" customHeight="1">
      <c r="A1291" s="3" t="str">
        <f>"34892021110415373743363"</f>
        <v>34892021110415373743363</v>
      </c>
      <c r="B1291" s="3" t="s">
        <v>428</v>
      </c>
      <c r="C1291" s="3" t="str">
        <f>"符慧玲"</f>
        <v>符慧玲</v>
      </c>
      <c r="D1291" s="3" t="s">
        <v>1226</v>
      </c>
    </row>
    <row r="1292" spans="1:4" ht="24.75" customHeight="1">
      <c r="A1292" s="3" t="str">
        <f>"34892021110415391843367"</f>
        <v>34892021110415391843367</v>
      </c>
      <c r="B1292" s="3" t="s">
        <v>428</v>
      </c>
      <c r="C1292" s="3" t="str">
        <f>"郭廉升"</f>
        <v>郭廉升</v>
      </c>
      <c r="D1292" s="3" t="s">
        <v>1227</v>
      </c>
    </row>
    <row r="1293" spans="1:4" ht="24.75" customHeight="1">
      <c r="A1293" s="3" t="str">
        <f>"34892021110415393843370"</f>
        <v>34892021110415393843370</v>
      </c>
      <c r="B1293" s="3" t="s">
        <v>428</v>
      </c>
      <c r="C1293" s="3" t="str">
        <f>"赵民英"</f>
        <v>赵民英</v>
      </c>
      <c r="D1293" s="3" t="s">
        <v>1228</v>
      </c>
    </row>
    <row r="1294" spans="1:4" ht="24.75" customHeight="1">
      <c r="A1294" s="3" t="str">
        <f>"34892021110415394343371"</f>
        <v>34892021110415394343371</v>
      </c>
      <c r="B1294" s="3" t="s">
        <v>428</v>
      </c>
      <c r="C1294" s="3" t="str">
        <f>"刘之菱"</f>
        <v>刘之菱</v>
      </c>
      <c r="D1294" s="3" t="s">
        <v>1229</v>
      </c>
    </row>
    <row r="1295" spans="1:4" ht="24.75" customHeight="1">
      <c r="A1295" s="3" t="str">
        <f>"34892021110415453843382"</f>
        <v>34892021110415453843382</v>
      </c>
      <c r="B1295" s="3" t="s">
        <v>428</v>
      </c>
      <c r="C1295" s="3" t="str">
        <f>"李必题"</f>
        <v>李必题</v>
      </c>
      <c r="D1295" s="3" t="s">
        <v>1230</v>
      </c>
    </row>
    <row r="1296" spans="1:4" ht="24.75" customHeight="1">
      <c r="A1296" s="3" t="str">
        <f>"34892021110415463843386"</f>
        <v>34892021110415463843386</v>
      </c>
      <c r="B1296" s="3" t="s">
        <v>428</v>
      </c>
      <c r="C1296" s="3" t="str">
        <f>"王巧玲"</f>
        <v>王巧玲</v>
      </c>
      <c r="D1296" s="3" t="s">
        <v>1231</v>
      </c>
    </row>
    <row r="1297" spans="1:4" ht="24.75" customHeight="1">
      <c r="A1297" s="3" t="str">
        <f>"34892021110415475143388"</f>
        <v>34892021110415475143388</v>
      </c>
      <c r="B1297" s="3" t="s">
        <v>428</v>
      </c>
      <c r="C1297" s="3" t="str">
        <f>"刘教伟"</f>
        <v>刘教伟</v>
      </c>
      <c r="D1297" s="3" t="s">
        <v>1232</v>
      </c>
    </row>
    <row r="1298" spans="1:4" ht="24.75" customHeight="1">
      <c r="A1298" s="3" t="str">
        <f>"34892021110415485143389"</f>
        <v>34892021110415485143389</v>
      </c>
      <c r="B1298" s="3" t="s">
        <v>428</v>
      </c>
      <c r="C1298" s="3" t="str">
        <f>"王菊英"</f>
        <v>王菊英</v>
      </c>
      <c r="D1298" s="3" t="s">
        <v>1233</v>
      </c>
    </row>
    <row r="1299" spans="1:4" ht="24.75" customHeight="1">
      <c r="A1299" s="3" t="str">
        <f>"34892021110415520143397"</f>
        <v>34892021110415520143397</v>
      </c>
      <c r="B1299" s="3" t="s">
        <v>428</v>
      </c>
      <c r="C1299" s="3" t="str">
        <f>"刘佳琪"</f>
        <v>刘佳琪</v>
      </c>
      <c r="D1299" s="3" t="s">
        <v>1234</v>
      </c>
    </row>
    <row r="1300" spans="1:4" ht="24.75" customHeight="1">
      <c r="A1300" s="3" t="str">
        <f>"34892021110415524243402"</f>
        <v>34892021110415524243402</v>
      </c>
      <c r="B1300" s="3" t="s">
        <v>428</v>
      </c>
      <c r="C1300" s="3" t="str">
        <f>"周永文"</f>
        <v>周永文</v>
      </c>
      <c r="D1300" s="3" t="s">
        <v>1235</v>
      </c>
    </row>
    <row r="1301" spans="1:4" ht="24.75" customHeight="1">
      <c r="A1301" s="3" t="str">
        <f>"34892021110415531343404"</f>
        <v>34892021110415531343404</v>
      </c>
      <c r="B1301" s="3" t="s">
        <v>428</v>
      </c>
      <c r="C1301" s="3" t="str">
        <f>"梅春丽"</f>
        <v>梅春丽</v>
      </c>
      <c r="D1301" s="3" t="s">
        <v>1236</v>
      </c>
    </row>
    <row r="1302" spans="1:4" ht="24.75" customHeight="1">
      <c r="A1302" s="3" t="str">
        <f>"34892021110415541943411"</f>
        <v>34892021110415541943411</v>
      </c>
      <c r="B1302" s="3" t="s">
        <v>428</v>
      </c>
      <c r="C1302" s="3" t="str">
        <f>"赵开静"</f>
        <v>赵开静</v>
      </c>
      <c r="D1302" s="3" t="s">
        <v>1237</v>
      </c>
    </row>
    <row r="1303" spans="1:4" ht="24.75" customHeight="1">
      <c r="A1303" s="3" t="str">
        <f>"34892021110415543543413"</f>
        <v>34892021110415543543413</v>
      </c>
      <c r="B1303" s="3" t="s">
        <v>428</v>
      </c>
      <c r="C1303" s="3" t="str">
        <f>"罗秀南"</f>
        <v>罗秀南</v>
      </c>
      <c r="D1303" s="3" t="s">
        <v>1238</v>
      </c>
    </row>
    <row r="1304" spans="1:4" ht="24.75" customHeight="1">
      <c r="A1304" s="3" t="str">
        <f>"34892021110415551443414"</f>
        <v>34892021110415551443414</v>
      </c>
      <c r="B1304" s="3" t="s">
        <v>428</v>
      </c>
      <c r="C1304" s="3" t="str">
        <f>"李文惠"</f>
        <v>李文惠</v>
      </c>
      <c r="D1304" s="3" t="s">
        <v>1239</v>
      </c>
    </row>
    <row r="1305" spans="1:4" ht="24.75" customHeight="1">
      <c r="A1305" s="3" t="str">
        <f>"34892021110415565743418"</f>
        <v>34892021110415565743418</v>
      </c>
      <c r="B1305" s="3" t="s">
        <v>428</v>
      </c>
      <c r="C1305" s="3" t="str">
        <f>"黄倩"</f>
        <v>黄倩</v>
      </c>
      <c r="D1305" s="3" t="s">
        <v>1240</v>
      </c>
    </row>
    <row r="1306" spans="1:4" ht="24.75" customHeight="1">
      <c r="A1306" s="3" t="str">
        <f>"34892021110415591543428"</f>
        <v>34892021110415591543428</v>
      </c>
      <c r="B1306" s="3" t="s">
        <v>428</v>
      </c>
      <c r="C1306" s="3" t="str">
        <f>"王小丽"</f>
        <v>王小丽</v>
      </c>
      <c r="D1306" s="3" t="s">
        <v>1241</v>
      </c>
    </row>
    <row r="1307" spans="1:4" ht="24.75" customHeight="1">
      <c r="A1307" s="3" t="str">
        <f>"34892021110415594043429"</f>
        <v>34892021110415594043429</v>
      </c>
      <c r="B1307" s="3" t="s">
        <v>428</v>
      </c>
      <c r="C1307" s="3" t="str">
        <f>"孙建邦"</f>
        <v>孙建邦</v>
      </c>
      <c r="D1307" s="3" t="s">
        <v>1242</v>
      </c>
    </row>
    <row r="1308" spans="1:4" ht="24.75" customHeight="1">
      <c r="A1308" s="3" t="str">
        <f>"34892021110416002543430"</f>
        <v>34892021110416002543430</v>
      </c>
      <c r="B1308" s="3" t="s">
        <v>428</v>
      </c>
      <c r="C1308" s="3" t="str">
        <f>"王海林"</f>
        <v>王海林</v>
      </c>
      <c r="D1308" s="3" t="s">
        <v>1243</v>
      </c>
    </row>
    <row r="1309" spans="1:4" ht="24.75" customHeight="1">
      <c r="A1309" s="3" t="str">
        <f>"34892021110416044543445"</f>
        <v>34892021110416044543445</v>
      </c>
      <c r="B1309" s="3" t="s">
        <v>428</v>
      </c>
      <c r="C1309" s="3" t="str">
        <f>"李少强"</f>
        <v>李少强</v>
      </c>
      <c r="D1309" s="3" t="s">
        <v>1244</v>
      </c>
    </row>
    <row r="1310" spans="1:4" ht="24.75" customHeight="1">
      <c r="A1310" s="3" t="str">
        <f>"34892021110416050743446"</f>
        <v>34892021110416050743446</v>
      </c>
      <c r="B1310" s="3" t="s">
        <v>428</v>
      </c>
      <c r="C1310" s="3" t="str">
        <f>"张晓颖"</f>
        <v>张晓颖</v>
      </c>
      <c r="D1310" s="3" t="s">
        <v>1245</v>
      </c>
    </row>
    <row r="1311" spans="1:4" ht="24.75" customHeight="1">
      <c r="A1311" s="3" t="str">
        <f>"34892021110416065843450"</f>
        <v>34892021110416065843450</v>
      </c>
      <c r="B1311" s="3" t="s">
        <v>428</v>
      </c>
      <c r="C1311" s="3" t="str">
        <f>"刘莎莎"</f>
        <v>刘莎莎</v>
      </c>
      <c r="D1311" s="3" t="s">
        <v>1246</v>
      </c>
    </row>
    <row r="1312" spans="1:4" ht="24.75" customHeight="1">
      <c r="A1312" s="3" t="str">
        <f>"34892021110416071043451"</f>
        <v>34892021110416071043451</v>
      </c>
      <c r="B1312" s="3" t="s">
        <v>428</v>
      </c>
      <c r="C1312" s="3" t="str">
        <f>"王芳芳"</f>
        <v>王芳芳</v>
      </c>
      <c r="D1312" s="3" t="s">
        <v>1247</v>
      </c>
    </row>
    <row r="1313" spans="1:4" ht="24.75" customHeight="1">
      <c r="A1313" s="3" t="str">
        <f>"34892021110416104743457"</f>
        <v>34892021110416104743457</v>
      </c>
      <c r="B1313" s="3" t="s">
        <v>428</v>
      </c>
      <c r="C1313" s="3" t="str">
        <f>"秦雨濛"</f>
        <v>秦雨濛</v>
      </c>
      <c r="D1313" s="3" t="s">
        <v>1248</v>
      </c>
    </row>
    <row r="1314" spans="1:4" ht="24.75" customHeight="1">
      <c r="A1314" s="3" t="str">
        <f>"34892021110416120843460"</f>
        <v>34892021110416120843460</v>
      </c>
      <c r="B1314" s="3" t="s">
        <v>428</v>
      </c>
      <c r="C1314" s="3" t="str">
        <f>"花敏"</f>
        <v>花敏</v>
      </c>
      <c r="D1314" s="3" t="s">
        <v>1249</v>
      </c>
    </row>
    <row r="1315" spans="1:4" ht="24.75" customHeight="1">
      <c r="A1315" s="3" t="str">
        <f>"34892021110416132243461"</f>
        <v>34892021110416132243461</v>
      </c>
      <c r="B1315" s="3" t="s">
        <v>428</v>
      </c>
      <c r="C1315" s="3" t="str">
        <f>"云惟榜"</f>
        <v>云惟榜</v>
      </c>
      <c r="D1315" s="3" t="s">
        <v>1250</v>
      </c>
    </row>
    <row r="1316" spans="1:4" ht="24.75" customHeight="1">
      <c r="A1316" s="3" t="str">
        <f>"34892021110416175443481"</f>
        <v>34892021110416175443481</v>
      </c>
      <c r="B1316" s="3" t="s">
        <v>428</v>
      </c>
      <c r="C1316" s="3" t="str">
        <f>"农丽圆"</f>
        <v>农丽圆</v>
      </c>
      <c r="D1316" s="3" t="s">
        <v>1251</v>
      </c>
    </row>
    <row r="1317" spans="1:4" ht="24.75" customHeight="1">
      <c r="A1317" s="3" t="str">
        <f>"34892021110416182043484"</f>
        <v>34892021110416182043484</v>
      </c>
      <c r="B1317" s="3" t="s">
        <v>428</v>
      </c>
      <c r="C1317" s="3" t="str">
        <f>"曾有政"</f>
        <v>曾有政</v>
      </c>
      <c r="D1317" s="3" t="s">
        <v>1252</v>
      </c>
    </row>
    <row r="1318" spans="1:4" ht="24.75" customHeight="1">
      <c r="A1318" s="3" t="str">
        <f>"34892021110416192443488"</f>
        <v>34892021110416192443488</v>
      </c>
      <c r="B1318" s="3" t="s">
        <v>428</v>
      </c>
      <c r="C1318" s="3" t="str">
        <f>"刘海明"</f>
        <v>刘海明</v>
      </c>
      <c r="D1318" s="3" t="s">
        <v>1253</v>
      </c>
    </row>
    <row r="1319" spans="1:4" ht="24.75" customHeight="1">
      <c r="A1319" s="3" t="str">
        <f>"34892021110416192543489"</f>
        <v>34892021110416192543489</v>
      </c>
      <c r="B1319" s="3" t="s">
        <v>428</v>
      </c>
      <c r="C1319" s="3" t="str">
        <f>"符蕾"</f>
        <v>符蕾</v>
      </c>
      <c r="D1319" s="3" t="s">
        <v>1254</v>
      </c>
    </row>
    <row r="1320" spans="1:4" ht="24.75" customHeight="1">
      <c r="A1320" s="3" t="str">
        <f>"34892021110416220743491"</f>
        <v>34892021110416220743491</v>
      </c>
      <c r="B1320" s="3" t="s">
        <v>428</v>
      </c>
      <c r="C1320" s="3" t="str">
        <f>"陈才驹"</f>
        <v>陈才驹</v>
      </c>
      <c r="D1320" s="3" t="s">
        <v>665</v>
      </c>
    </row>
    <row r="1321" spans="1:4" ht="24.75" customHeight="1">
      <c r="A1321" s="3" t="str">
        <f>"34892021110416233843495"</f>
        <v>34892021110416233843495</v>
      </c>
      <c r="B1321" s="3" t="s">
        <v>428</v>
      </c>
      <c r="C1321" s="3" t="str">
        <f>"张朝金"</f>
        <v>张朝金</v>
      </c>
      <c r="D1321" s="3" t="s">
        <v>1255</v>
      </c>
    </row>
    <row r="1322" spans="1:4" ht="24.75" customHeight="1">
      <c r="A1322" s="3" t="str">
        <f>"34892021110416324243508"</f>
        <v>34892021110416324243508</v>
      </c>
      <c r="B1322" s="3" t="s">
        <v>428</v>
      </c>
      <c r="C1322" s="3" t="str">
        <f>"符冬祺"</f>
        <v>符冬祺</v>
      </c>
      <c r="D1322" s="3" t="s">
        <v>1256</v>
      </c>
    </row>
    <row r="1323" spans="1:4" ht="24.75" customHeight="1">
      <c r="A1323" s="3" t="str">
        <f>"34892021110416330243510"</f>
        <v>34892021110416330243510</v>
      </c>
      <c r="B1323" s="3" t="s">
        <v>428</v>
      </c>
      <c r="C1323" s="3" t="str">
        <f>"丁丽珠"</f>
        <v>丁丽珠</v>
      </c>
      <c r="D1323" s="3" t="s">
        <v>1257</v>
      </c>
    </row>
    <row r="1324" spans="1:4" ht="24.75" customHeight="1">
      <c r="A1324" s="3" t="str">
        <f>"34892021110416333343511"</f>
        <v>34892021110416333343511</v>
      </c>
      <c r="B1324" s="3" t="s">
        <v>428</v>
      </c>
      <c r="C1324" s="3" t="str">
        <f>"陈晶晶"</f>
        <v>陈晶晶</v>
      </c>
      <c r="D1324" s="3" t="s">
        <v>1258</v>
      </c>
    </row>
    <row r="1325" spans="1:4" ht="24.75" customHeight="1">
      <c r="A1325" s="3" t="str">
        <f>"34892021110416351043514"</f>
        <v>34892021110416351043514</v>
      </c>
      <c r="B1325" s="3" t="s">
        <v>428</v>
      </c>
      <c r="C1325" s="3" t="str">
        <f>"魏丽萍"</f>
        <v>魏丽萍</v>
      </c>
      <c r="D1325" s="3" t="s">
        <v>1259</v>
      </c>
    </row>
    <row r="1326" spans="1:4" ht="24.75" customHeight="1">
      <c r="A1326" s="3" t="str">
        <f>"34892021110416352543516"</f>
        <v>34892021110416352543516</v>
      </c>
      <c r="B1326" s="3" t="s">
        <v>428</v>
      </c>
      <c r="C1326" s="3" t="str">
        <f>"邱勋赏"</f>
        <v>邱勋赏</v>
      </c>
      <c r="D1326" s="3" t="s">
        <v>1260</v>
      </c>
    </row>
    <row r="1327" spans="1:4" ht="24.75" customHeight="1">
      <c r="A1327" s="3" t="str">
        <f>"34892021110416373843524"</f>
        <v>34892021110416373843524</v>
      </c>
      <c r="B1327" s="3" t="s">
        <v>428</v>
      </c>
      <c r="C1327" s="3" t="str">
        <f>"吴艳"</f>
        <v>吴艳</v>
      </c>
      <c r="D1327" s="3" t="s">
        <v>1261</v>
      </c>
    </row>
    <row r="1328" spans="1:4" ht="24.75" customHeight="1">
      <c r="A1328" s="3" t="str">
        <f>"34892021110416411743535"</f>
        <v>34892021110416411743535</v>
      </c>
      <c r="B1328" s="3" t="s">
        <v>428</v>
      </c>
      <c r="C1328" s="3" t="str">
        <f>"符西亮"</f>
        <v>符西亮</v>
      </c>
      <c r="D1328" s="3" t="s">
        <v>1262</v>
      </c>
    </row>
    <row r="1329" spans="1:4" ht="24.75" customHeight="1">
      <c r="A1329" s="3" t="str">
        <f>"34892021110416412343536"</f>
        <v>34892021110416412343536</v>
      </c>
      <c r="B1329" s="3" t="s">
        <v>428</v>
      </c>
      <c r="C1329" s="3" t="str">
        <f>"林书影"</f>
        <v>林书影</v>
      </c>
      <c r="D1329" s="3" t="s">
        <v>733</v>
      </c>
    </row>
    <row r="1330" spans="1:4" ht="24.75" customHeight="1">
      <c r="A1330" s="3" t="str">
        <f>"34892021110416442843544"</f>
        <v>34892021110416442843544</v>
      </c>
      <c r="B1330" s="3" t="s">
        <v>428</v>
      </c>
      <c r="C1330" s="3" t="str">
        <f>"陈荟弘"</f>
        <v>陈荟弘</v>
      </c>
      <c r="D1330" s="3" t="s">
        <v>1263</v>
      </c>
    </row>
    <row r="1331" spans="1:4" ht="24.75" customHeight="1">
      <c r="A1331" s="3" t="str">
        <f>"34892021110416450343547"</f>
        <v>34892021110416450343547</v>
      </c>
      <c r="B1331" s="3" t="s">
        <v>428</v>
      </c>
      <c r="C1331" s="3" t="str">
        <f>"冼吉祥"</f>
        <v>冼吉祥</v>
      </c>
      <c r="D1331" s="3" t="s">
        <v>1264</v>
      </c>
    </row>
    <row r="1332" spans="1:4" ht="24.75" customHeight="1">
      <c r="A1332" s="3" t="str">
        <f>"34892021110416534243570"</f>
        <v>34892021110416534243570</v>
      </c>
      <c r="B1332" s="3" t="s">
        <v>428</v>
      </c>
      <c r="C1332" s="3" t="str">
        <f>"林永琪"</f>
        <v>林永琪</v>
      </c>
      <c r="D1332" s="3" t="s">
        <v>358</v>
      </c>
    </row>
    <row r="1333" spans="1:4" ht="24.75" customHeight="1">
      <c r="A1333" s="3" t="str">
        <f>"34892021110416540643571"</f>
        <v>34892021110416540643571</v>
      </c>
      <c r="B1333" s="3" t="s">
        <v>428</v>
      </c>
      <c r="C1333" s="3" t="str">
        <f>"蒙绪腾"</f>
        <v>蒙绪腾</v>
      </c>
      <c r="D1333" s="3" t="s">
        <v>1265</v>
      </c>
    </row>
    <row r="1334" spans="1:4" ht="24.75" customHeight="1">
      <c r="A1334" s="3" t="str">
        <f>"34892021110417060543592"</f>
        <v>34892021110417060543592</v>
      </c>
      <c r="B1334" s="3" t="s">
        <v>428</v>
      </c>
      <c r="C1334" s="3" t="str">
        <f>"符祥辉"</f>
        <v>符祥辉</v>
      </c>
      <c r="D1334" s="3" t="s">
        <v>1266</v>
      </c>
    </row>
    <row r="1335" spans="1:4" ht="24.75" customHeight="1">
      <c r="A1335" s="3" t="str">
        <f>"34892021110417060743593"</f>
        <v>34892021110417060743593</v>
      </c>
      <c r="B1335" s="3" t="s">
        <v>428</v>
      </c>
      <c r="C1335" s="3" t="str">
        <f>"许文静"</f>
        <v>许文静</v>
      </c>
      <c r="D1335" s="3" t="s">
        <v>1267</v>
      </c>
    </row>
    <row r="1336" spans="1:4" ht="24.75" customHeight="1">
      <c r="A1336" s="3" t="str">
        <f>"34892021110417110343605"</f>
        <v>34892021110417110343605</v>
      </c>
      <c r="B1336" s="3" t="s">
        <v>428</v>
      </c>
      <c r="C1336" s="3" t="str">
        <f>"王金丹"</f>
        <v>王金丹</v>
      </c>
      <c r="D1336" s="3" t="s">
        <v>1268</v>
      </c>
    </row>
    <row r="1337" spans="1:4" ht="24.75" customHeight="1">
      <c r="A1337" s="3" t="str">
        <f>"34892021110417124843607"</f>
        <v>34892021110417124843607</v>
      </c>
      <c r="B1337" s="3" t="s">
        <v>428</v>
      </c>
      <c r="C1337" s="3" t="str">
        <f>"曾德俊"</f>
        <v>曾德俊</v>
      </c>
      <c r="D1337" s="3" t="s">
        <v>307</v>
      </c>
    </row>
    <row r="1338" spans="1:4" ht="24.75" customHeight="1">
      <c r="A1338" s="3" t="str">
        <f>"34892021110417132443611"</f>
        <v>34892021110417132443611</v>
      </c>
      <c r="B1338" s="3" t="s">
        <v>428</v>
      </c>
      <c r="C1338" s="3" t="str">
        <f>"赵仪"</f>
        <v>赵仪</v>
      </c>
      <c r="D1338" s="3" t="s">
        <v>1269</v>
      </c>
    </row>
    <row r="1339" spans="1:4" ht="24.75" customHeight="1">
      <c r="A1339" s="3" t="str">
        <f>"34892021110417144543614"</f>
        <v>34892021110417144543614</v>
      </c>
      <c r="B1339" s="3" t="s">
        <v>428</v>
      </c>
      <c r="C1339" s="3" t="str">
        <f>"吴坤鹏"</f>
        <v>吴坤鹏</v>
      </c>
      <c r="D1339" s="3" t="s">
        <v>1270</v>
      </c>
    </row>
    <row r="1340" spans="1:4" ht="24.75" customHeight="1">
      <c r="A1340" s="3" t="str">
        <f>"34892021110417214943629"</f>
        <v>34892021110417214943629</v>
      </c>
      <c r="B1340" s="3" t="s">
        <v>428</v>
      </c>
      <c r="C1340" s="3" t="str">
        <f>"吴萃康"</f>
        <v>吴萃康</v>
      </c>
      <c r="D1340" s="3" t="s">
        <v>909</v>
      </c>
    </row>
    <row r="1341" spans="1:4" ht="24.75" customHeight="1">
      <c r="A1341" s="3" t="str">
        <f>"34892021110417250243633"</f>
        <v>34892021110417250243633</v>
      </c>
      <c r="B1341" s="3" t="s">
        <v>428</v>
      </c>
      <c r="C1341" s="3" t="str">
        <f>"赵新元"</f>
        <v>赵新元</v>
      </c>
      <c r="D1341" s="3" t="s">
        <v>1271</v>
      </c>
    </row>
    <row r="1342" spans="1:4" ht="24.75" customHeight="1">
      <c r="A1342" s="3" t="str">
        <f>"34892021110417263543634"</f>
        <v>34892021110417263543634</v>
      </c>
      <c r="B1342" s="3" t="s">
        <v>428</v>
      </c>
      <c r="C1342" s="3" t="str">
        <f>"邢增益"</f>
        <v>邢增益</v>
      </c>
      <c r="D1342" s="3" t="s">
        <v>1272</v>
      </c>
    </row>
    <row r="1343" spans="1:4" ht="24.75" customHeight="1">
      <c r="A1343" s="3" t="str">
        <f>"34892021110417265743636"</f>
        <v>34892021110417265743636</v>
      </c>
      <c r="B1343" s="3" t="s">
        <v>428</v>
      </c>
      <c r="C1343" s="3" t="str">
        <f>"黄远精"</f>
        <v>黄远精</v>
      </c>
      <c r="D1343" s="3" t="s">
        <v>1273</v>
      </c>
    </row>
    <row r="1344" spans="1:4" ht="24.75" customHeight="1">
      <c r="A1344" s="3" t="str">
        <f>"34892021110417292843641"</f>
        <v>34892021110417292843641</v>
      </c>
      <c r="B1344" s="3" t="s">
        <v>428</v>
      </c>
      <c r="C1344" s="3" t="str">
        <f>"王海云"</f>
        <v>王海云</v>
      </c>
      <c r="D1344" s="3" t="s">
        <v>399</v>
      </c>
    </row>
    <row r="1345" spans="1:4" ht="24.75" customHeight="1">
      <c r="A1345" s="3" t="str">
        <f>"34892021110417330743651"</f>
        <v>34892021110417330743651</v>
      </c>
      <c r="B1345" s="3" t="s">
        <v>428</v>
      </c>
      <c r="C1345" s="3" t="str">
        <f>"倪胜永"</f>
        <v>倪胜永</v>
      </c>
      <c r="D1345" s="3" t="s">
        <v>1274</v>
      </c>
    </row>
    <row r="1346" spans="1:4" ht="24.75" customHeight="1">
      <c r="A1346" s="3" t="str">
        <f>"34892021110417334243652"</f>
        <v>34892021110417334243652</v>
      </c>
      <c r="B1346" s="3" t="s">
        <v>428</v>
      </c>
      <c r="C1346" s="3" t="str">
        <f>"曾丽华"</f>
        <v>曾丽华</v>
      </c>
      <c r="D1346" s="3" t="s">
        <v>1275</v>
      </c>
    </row>
    <row r="1347" spans="1:4" ht="24.75" customHeight="1">
      <c r="A1347" s="3" t="str">
        <f>"34892021110417371543656"</f>
        <v>34892021110417371543656</v>
      </c>
      <c r="B1347" s="3" t="s">
        <v>428</v>
      </c>
      <c r="C1347" s="3" t="str">
        <f>"李虹"</f>
        <v>李虹</v>
      </c>
      <c r="D1347" s="3" t="s">
        <v>1276</v>
      </c>
    </row>
    <row r="1348" spans="1:4" ht="24.75" customHeight="1">
      <c r="A1348" s="3" t="str">
        <f>"34892021110417391643661"</f>
        <v>34892021110417391643661</v>
      </c>
      <c r="B1348" s="3" t="s">
        <v>428</v>
      </c>
      <c r="C1348" s="3" t="str">
        <f>"吴志健"</f>
        <v>吴志健</v>
      </c>
      <c r="D1348" s="3" t="s">
        <v>1277</v>
      </c>
    </row>
    <row r="1349" spans="1:4" ht="24.75" customHeight="1">
      <c r="A1349" s="3" t="str">
        <f>"34892021110417394043662"</f>
        <v>34892021110417394043662</v>
      </c>
      <c r="B1349" s="3" t="s">
        <v>428</v>
      </c>
      <c r="C1349" s="3" t="str">
        <f>"简二梅"</f>
        <v>简二梅</v>
      </c>
      <c r="D1349" s="3" t="s">
        <v>1278</v>
      </c>
    </row>
    <row r="1350" spans="1:4" ht="24.75" customHeight="1">
      <c r="A1350" s="3" t="str">
        <f>"34892021110417401643663"</f>
        <v>34892021110417401643663</v>
      </c>
      <c r="B1350" s="3" t="s">
        <v>428</v>
      </c>
      <c r="C1350" s="3" t="str">
        <f>"孙章成"</f>
        <v>孙章成</v>
      </c>
      <c r="D1350" s="3" t="s">
        <v>1279</v>
      </c>
    </row>
    <row r="1351" spans="1:4" ht="24.75" customHeight="1">
      <c r="A1351" s="3" t="str">
        <f>"34892021110417404643664"</f>
        <v>34892021110417404643664</v>
      </c>
      <c r="B1351" s="3" t="s">
        <v>428</v>
      </c>
      <c r="C1351" s="3" t="str">
        <f>"熊文豪"</f>
        <v>熊文豪</v>
      </c>
      <c r="D1351" s="3" t="s">
        <v>1280</v>
      </c>
    </row>
    <row r="1352" spans="1:4" ht="24.75" customHeight="1">
      <c r="A1352" s="3" t="str">
        <f>"34892021110417434043668"</f>
        <v>34892021110417434043668</v>
      </c>
      <c r="B1352" s="3" t="s">
        <v>428</v>
      </c>
      <c r="C1352" s="3" t="str">
        <f>"王虹"</f>
        <v>王虹</v>
      </c>
      <c r="D1352" s="3" t="s">
        <v>93</v>
      </c>
    </row>
    <row r="1353" spans="1:4" ht="24.75" customHeight="1">
      <c r="A1353" s="3" t="str">
        <f>"34892021110417503643684"</f>
        <v>34892021110417503643684</v>
      </c>
      <c r="B1353" s="3" t="s">
        <v>428</v>
      </c>
      <c r="C1353" s="3" t="str">
        <f>"李二女"</f>
        <v>李二女</v>
      </c>
      <c r="D1353" s="3" t="s">
        <v>1281</v>
      </c>
    </row>
    <row r="1354" spans="1:4" ht="24.75" customHeight="1">
      <c r="A1354" s="3" t="str">
        <f>"34892021110417524243687"</f>
        <v>34892021110417524243687</v>
      </c>
      <c r="B1354" s="3" t="s">
        <v>428</v>
      </c>
      <c r="C1354" s="3" t="str">
        <f>"王惠"</f>
        <v>王惠</v>
      </c>
      <c r="D1354" s="3" t="s">
        <v>1282</v>
      </c>
    </row>
    <row r="1355" spans="1:4" ht="24.75" customHeight="1">
      <c r="A1355" s="3" t="str">
        <f>"34892021110417544843693"</f>
        <v>34892021110417544843693</v>
      </c>
      <c r="B1355" s="3" t="s">
        <v>428</v>
      </c>
      <c r="C1355" s="3" t="str">
        <f>"郑桔鸾"</f>
        <v>郑桔鸾</v>
      </c>
      <c r="D1355" s="3" t="s">
        <v>661</v>
      </c>
    </row>
    <row r="1356" spans="1:4" ht="24.75" customHeight="1">
      <c r="A1356" s="3" t="str">
        <f>"34892021110417581243698"</f>
        <v>34892021110417581243698</v>
      </c>
      <c r="B1356" s="3" t="s">
        <v>428</v>
      </c>
      <c r="C1356" s="3" t="str">
        <f>"叶秋慧"</f>
        <v>叶秋慧</v>
      </c>
      <c r="D1356" s="3" t="s">
        <v>1283</v>
      </c>
    </row>
    <row r="1357" spans="1:4" ht="24.75" customHeight="1">
      <c r="A1357" s="3" t="str">
        <f>"34892021110417590643701"</f>
        <v>34892021110417590643701</v>
      </c>
      <c r="B1357" s="3" t="s">
        <v>428</v>
      </c>
      <c r="C1357" s="3" t="str">
        <f>"吴玉妹"</f>
        <v>吴玉妹</v>
      </c>
      <c r="D1357" s="3" t="s">
        <v>1284</v>
      </c>
    </row>
    <row r="1358" spans="1:4" ht="24.75" customHeight="1">
      <c r="A1358" s="3" t="str">
        <f>"34892021110418033743707"</f>
        <v>34892021110418033743707</v>
      </c>
      <c r="B1358" s="3" t="s">
        <v>428</v>
      </c>
      <c r="C1358" s="3" t="str">
        <f>"陈灵婵"</f>
        <v>陈灵婵</v>
      </c>
      <c r="D1358" s="3" t="s">
        <v>1285</v>
      </c>
    </row>
    <row r="1359" spans="1:4" ht="24.75" customHeight="1">
      <c r="A1359" s="3" t="str">
        <f>"34892021110418123243724"</f>
        <v>34892021110418123243724</v>
      </c>
      <c r="B1359" s="3" t="s">
        <v>428</v>
      </c>
      <c r="C1359" s="3" t="str">
        <f>"陈子童"</f>
        <v>陈子童</v>
      </c>
      <c r="D1359" s="3" t="s">
        <v>1286</v>
      </c>
    </row>
    <row r="1360" spans="1:4" ht="24.75" customHeight="1">
      <c r="A1360" s="3" t="str">
        <f>"34892021110418135143730"</f>
        <v>34892021110418135143730</v>
      </c>
      <c r="B1360" s="3" t="s">
        <v>428</v>
      </c>
      <c r="C1360" s="3" t="str">
        <f>"喻国洋"</f>
        <v>喻国洋</v>
      </c>
      <c r="D1360" s="3" t="s">
        <v>1287</v>
      </c>
    </row>
    <row r="1361" spans="1:4" ht="24.75" customHeight="1">
      <c r="A1361" s="3" t="str">
        <f>"34892021110418155043734"</f>
        <v>34892021110418155043734</v>
      </c>
      <c r="B1361" s="3" t="s">
        <v>428</v>
      </c>
      <c r="C1361" s="3" t="str">
        <f>"江丽倩"</f>
        <v>江丽倩</v>
      </c>
      <c r="D1361" s="3" t="s">
        <v>1288</v>
      </c>
    </row>
    <row r="1362" spans="1:4" ht="24.75" customHeight="1">
      <c r="A1362" s="3" t="str">
        <f>"34892021110418161843735"</f>
        <v>34892021110418161843735</v>
      </c>
      <c r="B1362" s="3" t="s">
        <v>428</v>
      </c>
      <c r="C1362" s="3" t="str">
        <f>"杨令捷"</f>
        <v>杨令捷</v>
      </c>
      <c r="D1362" s="3" t="s">
        <v>1289</v>
      </c>
    </row>
    <row r="1363" spans="1:4" ht="24.75" customHeight="1">
      <c r="A1363" s="3" t="str">
        <f>"34892021110418162743736"</f>
        <v>34892021110418162743736</v>
      </c>
      <c r="B1363" s="3" t="s">
        <v>428</v>
      </c>
      <c r="C1363" s="3" t="str">
        <f>"华琛"</f>
        <v>华琛</v>
      </c>
      <c r="D1363" s="3" t="s">
        <v>1290</v>
      </c>
    </row>
    <row r="1364" spans="1:4" ht="24.75" customHeight="1">
      <c r="A1364" s="3" t="str">
        <f>"34892021110418185043737"</f>
        <v>34892021110418185043737</v>
      </c>
      <c r="B1364" s="3" t="s">
        <v>428</v>
      </c>
      <c r="C1364" s="3" t="str">
        <f>"麦兆文"</f>
        <v>麦兆文</v>
      </c>
      <c r="D1364" s="3" t="s">
        <v>1291</v>
      </c>
    </row>
    <row r="1365" spans="1:4" ht="24.75" customHeight="1">
      <c r="A1365" s="3" t="str">
        <f>"34892021110418205343739"</f>
        <v>34892021110418205343739</v>
      </c>
      <c r="B1365" s="3" t="s">
        <v>428</v>
      </c>
      <c r="C1365" s="3" t="str">
        <f>"吴明亮"</f>
        <v>吴明亮</v>
      </c>
      <c r="D1365" s="3" t="s">
        <v>1292</v>
      </c>
    </row>
    <row r="1366" spans="1:4" ht="24.75" customHeight="1">
      <c r="A1366" s="3" t="str">
        <f>"34892021110418302343749"</f>
        <v>34892021110418302343749</v>
      </c>
      <c r="B1366" s="3" t="s">
        <v>428</v>
      </c>
      <c r="C1366" s="3" t="str">
        <f>"陈余珏"</f>
        <v>陈余珏</v>
      </c>
      <c r="D1366" s="3" t="s">
        <v>1293</v>
      </c>
    </row>
    <row r="1367" spans="1:4" ht="24.75" customHeight="1">
      <c r="A1367" s="3" t="str">
        <f>"34892021110418304343750"</f>
        <v>34892021110418304343750</v>
      </c>
      <c r="B1367" s="3" t="s">
        <v>428</v>
      </c>
      <c r="C1367" s="3" t="str">
        <f>"张玲玲"</f>
        <v>张玲玲</v>
      </c>
      <c r="D1367" s="3" t="s">
        <v>1294</v>
      </c>
    </row>
    <row r="1368" spans="1:4" ht="24.75" customHeight="1">
      <c r="A1368" s="3" t="str">
        <f>"34892021110418320443754"</f>
        <v>34892021110418320443754</v>
      </c>
      <c r="B1368" s="3" t="s">
        <v>428</v>
      </c>
      <c r="C1368" s="3" t="str">
        <f>"刘佳斌"</f>
        <v>刘佳斌</v>
      </c>
      <c r="D1368" s="3" t="s">
        <v>1295</v>
      </c>
    </row>
    <row r="1369" spans="1:4" ht="24.75" customHeight="1">
      <c r="A1369" s="3" t="str">
        <f>"34892021110418340843758"</f>
        <v>34892021110418340843758</v>
      </c>
      <c r="B1369" s="3" t="s">
        <v>428</v>
      </c>
      <c r="C1369" s="3" t="str">
        <f>"王胜"</f>
        <v>王胜</v>
      </c>
      <c r="D1369" s="3" t="s">
        <v>1296</v>
      </c>
    </row>
    <row r="1370" spans="1:4" ht="24.75" customHeight="1">
      <c r="A1370" s="3" t="str">
        <f>"34892021110418455443776"</f>
        <v>34892021110418455443776</v>
      </c>
      <c r="B1370" s="3" t="s">
        <v>428</v>
      </c>
      <c r="C1370" s="3" t="str">
        <f>"黄娜"</f>
        <v>黄娜</v>
      </c>
      <c r="D1370" s="3" t="s">
        <v>1297</v>
      </c>
    </row>
    <row r="1371" spans="1:4" ht="24.75" customHeight="1">
      <c r="A1371" s="3" t="str">
        <f>"34892021110418524743786"</f>
        <v>34892021110418524743786</v>
      </c>
      <c r="B1371" s="3" t="s">
        <v>428</v>
      </c>
      <c r="C1371" s="3" t="str">
        <f>"蔡静"</f>
        <v>蔡静</v>
      </c>
      <c r="D1371" s="3" t="s">
        <v>1298</v>
      </c>
    </row>
    <row r="1372" spans="1:4" ht="24.75" customHeight="1">
      <c r="A1372" s="3" t="str">
        <f>"34892021110418591843793"</f>
        <v>34892021110418591843793</v>
      </c>
      <c r="B1372" s="3" t="s">
        <v>428</v>
      </c>
      <c r="C1372" s="3" t="str">
        <f>"李娜"</f>
        <v>李娜</v>
      </c>
      <c r="D1372" s="3" t="s">
        <v>1299</v>
      </c>
    </row>
    <row r="1373" spans="1:4" ht="24.75" customHeight="1">
      <c r="A1373" s="3" t="str">
        <f>"34892021110419045343805"</f>
        <v>34892021110419045343805</v>
      </c>
      <c r="B1373" s="3" t="s">
        <v>428</v>
      </c>
      <c r="C1373" s="3" t="str">
        <f>"吴海秀"</f>
        <v>吴海秀</v>
      </c>
      <c r="D1373" s="3" t="s">
        <v>1300</v>
      </c>
    </row>
    <row r="1374" spans="1:4" ht="24.75" customHeight="1">
      <c r="A1374" s="3" t="str">
        <f>"34892021110419055843807"</f>
        <v>34892021110419055843807</v>
      </c>
      <c r="B1374" s="3" t="s">
        <v>428</v>
      </c>
      <c r="C1374" s="3" t="str">
        <f>"张慧"</f>
        <v>张慧</v>
      </c>
      <c r="D1374" s="3" t="s">
        <v>1301</v>
      </c>
    </row>
    <row r="1375" spans="1:4" ht="24.75" customHeight="1">
      <c r="A1375" s="3" t="str">
        <f>"34892021110419065943809"</f>
        <v>34892021110419065943809</v>
      </c>
      <c r="B1375" s="3" t="s">
        <v>428</v>
      </c>
      <c r="C1375" s="3" t="str">
        <f>"邱慧萍"</f>
        <v>邱慧萍</v>
      </c>
      <c r="D1375" s="3" t="s">
        <v>1302</v>
      </c>
    </row>
    <row r="1376" spans="1:4" ht="24.75" customHeight="1">
      <c r="A1376" s="3" t="str">
        <f>"34892021110419122743817"</f>
        <v>34892021110419122743817</v>
      </c>
      <c r="B1376" s="3" t="s">
        <v>428</v>
      </c>
      <c r="C1376" s="3" t="str">
        <f>"杨小雷"</f>
        <v>杨小雷</v>
      </c>
      <c r="D1376" s="3" t="s">
        <v>1303</v>
      </c>
    </row>
    <row r="1377" spans="1:4" ht="24.75" customHeight="1">
      <c r="A1377" s="3" t="str">
        <f>"34892021110419202743827"</f>
        <v>34892021110419202743827</v>
      </c>
      <c r="B1377" s="3" t="s">
        <v>428</v>
      </c>
      <c r="C1377" s="3" t="str">
        <f>"吴晓鑫"</f>
        <v>吴晓鑫</v>
      </c>
      <c r="D1377" s="3" t="s">
        <v>1304</v>
      </c>
    </row>
    <row r="1378" spans="1:4" ht="24.75" customHeight="1">
      <c r="A1378" s="3" t="str">
        <f>"34892021110419223743831"</f>
        <v>34892021110419223743831</v>
      </c>
      <c r="B1378" s="3" t="s">
        <v>428</v>
      </c>
      <c r="C1378" s="3" t="str">
        <f>"管鑫悦"</f>
        <v>管鑫悦</v>
      </c>
      <c r="D1378" s="3" t="s">
        <v>1305</v>
      </c>
    </row>
    <row r="1379" spans="1:4" ht="24.75" customHeight="1">
      <c r="A1379" s="3" t="str">
        <f>"34892021110419315343848"</f>
        <v>34892021110419315343848</v>
      </c>
      <c r="B1379" s="3" t="s">
        <v>428</v>
      </c>
      <c r="C1379" s="3" t="str">
        <f>"蒙美功"</f>
        <v>蒙美功</v>
      </c>
      <c r="D1379" s="3" t="s">
        <v>1306</v>
      </c>
    </row>
    <row r="1380" spans="1:4" ht="24.75" customHeight="1">
      <c r="A1380" s="3" t="str">
        <f>"34892021110419321343850"</f>
        <v>34892021110419321343850</v>
      </c>
      <c r="B1380" s="3" t="s">
        <v>428</v>
      </c>
      <c r="C1380" s="3" t="str">
        <f>"李如辉"</f>
        <v>李如辉</v>
      </c>
      <c r="D1380" s="3" t="s">
        <v>1069</v>
      </c>
    </row>
    <row r="1381" spans="1:4" ht="24.75" customHeight="1">
      <c r="A1381" s="3" t="str">
        <f>"34892021110419335243855"</f>
        <v>34892021110419335243855</v>
      </c>
      <c r="B1381" s="3" t="s">
        <v>428</v>
      </c>
      <c r="C1381" s="3" t="str">
        <f>"刘生优"</f>
        <v>刘生优</v>
      </c>
      <c r="D1381" s="3" t="s">
        <v>1307</v>
      </c>
    </row>
    <row r="1382" spans="1:4" ht="24.75" customHeight="1">
      <c r="A1382" s="3" t="str">
        <f>"34892021110419353643860"</f>
        <v>34892021110419353643860</v>
      </c>
      <c r="B1382" s="3" t="s">
        <v>428</v>
      </c>
      <c r="C1382" s="3" t="str">
        <f>"曾庆彪"</f>
        <v>曾庆彪</v>
      </c>
      <c r="D1382" s="3" t="s">
        <v>1308</v>
      </c>
    </row>
    <row r="1383" spans="1:4" ht="24.75" customHeight="1">
      <c r="A1383" s="3" t="str">
        <f>"34892021110419363643861"</f>
        <v>34892021110419363643861</v>
      </c>
      <c r="B1383" s="3" t="s">
        <v>428</v>
      </c>
      <c r="C1383" s="3" t="str">
        <f>"崔文凯"</f>
        <v>崔文凯</v>
      </c>
      <c r="D1383" s="3" t="s">
        <v>1309</v>
      </c>
    </row>
    <row r="1384" spans="1:4" ht="24.75" customHeight="1">
      <c r="A1384" s="3" t="str">
        <f>"34892021110419435543872"</f>
        <v>34892021110419435543872</v>
      </c>
      <c r="B1384" s="3" t="s">
        <v>428</v>
      </c>
      <c r="C1384" s="3" t="str">
        <f>"符汝芳"</f>
        <v>符汝芳</v>
      </c>
      <c r="D1384" s="3" t="s">
        <v>1310</v>
      </c>
    </row>
    <row r="1385" spans="1:4" ht="24.75" customHeight="1">
      <c r="A1385" s="3" t="str">
        <f>"34892021110419500943889"</f>
        <v>34892021110419500943889</v>
      </c>
      <c r="B1385" s="3" t="s">
        <v>428</v>
      </c>
      <c r="C1385" s="3" t="str">
        <f>"黄娜"</f>
        <v>黄娜</v>
      </c>
      <c r="D1385" s="3" t="s">
        <v>1311</v>
      </c>
    </row>
    <row r="1386" spans="1:4" ht="24.75" customHeight="1">
      <c r="A1386" s="3" t="str">
        <f>"34892021110420011043909"</f>
        <v>34892021110420011043909</v>
      </c>
      <c r="B1386" s="3" t="s">
        <v>428</v>
      </c>
      <c r="C1386" s="3" t="str">
        <f>"邢增国"</f>
        <v>邢增国</v>
      </c>
      <c r="D1386" s="3" t="s">
        <v>1312</v>
      </c>
    </row>
    <row r="1387" spans="1:4" ht="24.75" customHeight="1">
      <c r="A1387" s="3" t="str">
        <f>"34892021110420015043912"</f>
        <v>34892021110420015043912</v>
      </c>
      <c r="B1387" s="3" t="s">
        <v>428</v>
      </c>
      <c r="C1387" s="3" t="str">
        <f>"林贻炜"</f>
        <v>林贻炜</v>
      </c>
      <c r="D1387" s="3" t="s">
        <v>1313</v>
      </c>
    </row>
    <row r="1388" spans="1:4" ht="24.75" customHeight="1">
      <c r="A1388" s="3" t="str">
        <f>"34892021110420065743923"</f>
        <v>34892021110420065743923</v>
      </c>
      <c r="B1388" s="3" t="s">
        <v>428</v>
      </c>
      <c r="C1388" s="3" t="str">
        <f>"曾淑珍"</f>
        <v>曾淑珍</v>
      </c>
      <c r="D1388" s="3" t="s">
        <v>1314</v>
      </c>
    </row>
    <row r="1389" spans="1:4" ht="24.75" customHeight="1">
      <c r="A1389" s="3" t="str">
        <f>"34892021110420133343935"</f>
        <v>34892021110420133343935</v>
      </c>
      <c r="B1389" s="3" t="s">
        <v>428</v>
      </c>
      <c r="C1389" s="3" t="str">
        <f>"邱妹"</f>
        <v>邱妹</v>
      </c>
      <c r="D1389" s="3" t="s">
        <v>1315</v>
      </c>
    </row>
    <row r="1390" spans="1:4" ht="24.75" customHeight="1">
      <c r="A1390" s="3" t="str">
        <f>"34892021110420143943936"</f>
        <v>34892021110420143943936</v>
      </c>
      <c r="B1390" s="3" t="s">
        <v>428</v>
      </c>
      <c r="C1390" s="3" t="str">
        <f>"王丽金"</f>
        <v>王丽金</v>
      </c>
      <c r="D1390" s="3" t="s">
        <v>1316</v>
      </c>
    </row>
    <row r="1391" spans="1:4" ht="24.75" customHeight="1">
      <c r="A1391" s="3" t="str">
        <f>"34892021110420173243942"</f>
        <v>34892021110420173243942</v>
      </c>
      <c r="B1391" s="3" t="s">
        <v>428</v>
      </c>
      <c r="C1391" s="3" t="str">
        <f>"邱婷婷"</f>
        <v>邱婷婷</v>
      </c>
      <c r="D1391" s="3" t="s">
        <v>1317</v>
      </c>
    </row>
    <row r="1392" spans="1:4" ht="24.75" customHeight="1">
      <c r="A1392" s="3" t="str">
        <f>"34892021110420185943944"</f>
        <v>34892021110420185943944</v>
      </c>
      <c r="B1392" s="3" t="s">
        <v>428</v>
      </c>
      <c r="C1392" s="3" t="str">
        <f>"刘玲"</f>
        <v>刘玲</v>
      </c>
      <c r="D1392" s="3" t="s">
        <v>1318</v>
      </c>
    </row>
    <row r="1393" spans="1:4" ht="24.75" customHeight="1">
      <c r="A1393" s="3" t="str">
        <f>"34892021110420202243946"</f>
        <v>34892021110420202243946</v>
      </c>
      <c r="B1393" s="3" t="s">
        <v>428</v>
      </c>
      <c r="C1393" s="3" t="str">
        <f>"曾永秀"</f>
        <v>曾永秀</v>
      </c>
      <c r="D1393" s="3" t="s">
        <v>502</v>
      </c>
    </row>
    <row r="1394" spans="1:4" ht="24.75" customHeight="1">
      <c r="A1394" s="3" t="str">
        <f>"34892021110420232343949"</f>
        <v>34892021110420232343949</v>
      </c>
      <c r="B1394" s="3" t="s">
        <v>428</v>
      </c>
      <c r="C1394" s="3" t="str">
        <f>"丁杨"</f>
        <v>丁杨</v>
      </c>
      <c r="D1394" s="3" t="s">
        <v>1319</v>
      </c>
    </row>
    <row r="1395" spans="1:4" ht="24.75" customHeight="1">
      <c r="A1395" s="3" t="str">
        <f>"34892021110420262243956"</f>
        <v>34892021110420262243956</v>
      </c>
      <c r="B1395" s="3" t="s">
        <v>428</v>
      </c>
      <c r="C1395" s="3" t="str">
        <f>"冯宣豪"</f>
        <v>冯宣豪</v>
      </c>
      <c r="D1395" s="3" t="s">
        <v>1320</v>
      </c>
    </row>
    <row r="1396" spans="1:4" ht="24.75" customHeight="1">
      <c r="A1396" s="3" t="str">
        <f>"34892021110420341943969"</f>
        <v>34892021110420341943969</v>
      </c>
      <c r="B1396" s="3" t="s">
        <v>428</v>
      </c>
      <c r="C1396" s="3" t="str">
        <f>"林丽"</f>
        <v>林丽</v>
      </c>
      <c r="D1396" s="3" t="s">
        <v>1321</v>
      </c>
    </row>
    <row r="1397" spans="1:4" ht="24.75" customHeight="1">
      <c r="A1397" s="3" t="str">
        <f>"34892021110420372943975"</f>
        <v>34892021110420372943975</v>
      </c>
      <c r="B1397" s="3" t="s">
        <v>428</v>
      </c>
      <c r="C1397" s="3" t="str">
        <f>"冯桔蕾"</f>
        <v>冯桔蕾</v>
      </c>
      <c r="D1397" s="3" t="s">
        <v>1322</v>
      </c>
    </row>
    <row r="1398" spans="1:4" ht="24.75" customHeight="1">
      <c r="A1398" s="3" t="str">
        <f>"34892021110420380543977"</f>
        <v>34892021110420380543977</v>
      </c>
      <c r="B1398" s="3" t="s">
        <v>428</v>
      </c>
      <c r="C1398" s="3" t="str">
        <f>"卢显帅"</f>
        <v>卢显帅</v>
      </c>
      <c r="D1398" s="3" t="s">
        <v>1323</v>
      </c>
    </row>
    <row r="1399" spans="1:4" ht="24.75" customHeight="1">
      <c r="A1399" s="3" t="str">
        <f>"34892021110420383043979"</f>
        <v>34892021110420383043979</v>
      </c>
      <c r="B1399" s="3" t="s">
        <v>428</v>
      </c>
      <c r="C1399" s="3" t="str">
        <f>"林道强"</f>
        <v>林道强</v>
      </c>
      <c r="D1399" s="3" t="s">
        <v>828</v>
      </c>
    </row>
    <row r="1400" spans="1:4" ht="24.75" customHeight="1">
      <c r="A1400" s="3" t="str">
        <f>"34892021110420441843990"</f>
        <v>34892021110420441843990</v>
      </c>
      <c r="B1400" s="3" t="s">
        <v>428</v>
      </c>
      <c r="C1400" s="3" t="str">
        <f>"郑堂辉"</f>
        <v>郑堂辉</v>
      </c>
      <c r="D1400" s="3" t="s">
        <v>1324</v>
      </c>
    </row>
    <row r="1401" spans="1:4" ht="24.75" customHeight="1">
      <c r="A1401" s="3" t="str">
        <f>"34892021110420483543999"</f>
        <v>34892021110420483543999</v>
      </c>
      <c r="B1401" s="3" t="s">
        <v>428</v>
      </c>
      <c r="C1401" s="3" t="str">
        <f>"符丽丹"</f>
        <v>符丽丹</v>
      </c>
      <c r="D1401" s="3" t="s">
        <v>1325</v>
      </c>
    </row>
    <row r="1402" spans="1:4" ht="24.75" customHeight="1">
      <c r="A1402" s="3" t="str">
        <f>"34892021110420501444003"</f>
        <v>34892021110420501444003</v>
      </c>
      <c r="B1402" s="3" t="s">
        <v>428</v>
      </c>
      <c r="C1402" s="3" t="str">
        <f>"王婉婷"</f>
        <v>王婉婷</v>
      </c>
      <c r="D1402" s="3" t="s">
        <v>1326</v>
      </c>
    </row>
    <row r="1403" spans="1:4" ht="24.75" customHeight="1">
      <c r="A1403" s="3" t="str">
        <f>"34892021110420522544011"</f>
        <v>34892021110420522544011</v>
      </c>
      <c r="B1403" s="3" t="s">
        <v>428</v>
      </c>
      <c r="C1403" s="3" t="str">
        <f>"陈学嘉"</f>
        <v>陈学嘉</v>
      </c>
      <c r="D1403" s="3" t="s">
        <v>1327</v>
      </c>
    </row>
    <row r="1404" spans="1:4" ht="24.75" customHeight="1">
      <c r="A1404" s="3" t="str">
        <f>"34892021110420594644030"</f>
        <v>34892021110420594644030</v>
      </c>
      <c r="B1404" s="3" t="s">
        <v>428</v>
      </c>
      <c r="C1404" s="3" t="str">
        <f>"符永丹"</f>
        <v>符永丹</v>
      </c>
      <c r="D1404" s="3" t="s">
        <v>1328</v>
      </c>
    </row>
    <row r="1405" spans="1:4" ht="24.75" customHeight="1">
      <c r="A1405" s="3" t="str">
        <f>"34892021110421054644042"</f>
        <v>34892021110421054644042</v>
      </c>
      <c r="B1405" s="3" t="s">
        <v>428</v>
      </c>
      <c r="C1405" s="3" t="str">
        <f>"彭惠婵"</f>
        <v>彭惠婵</v>
      </c>
      <c r="D1405" s="3" t="s">
        <v>1329</v>
      </c>
    </row>
    <row r="1406" spans="1:4" ht="24.75" customHeight="1">
      <c r="A1406" s="3" t="str">
        <f>"34892021110421070144044"</f>
        <v>34892021110421070144044</v>
      </c>
      <c r="B1406" s="3" t="s">
        <v>428</v>
      </c>
      <c r="C1406" s="3" t="str">
        <f>"李日汤"</f>
        <v>李日汤</v>
      </c>
      <c r="D1406" s="3" t="s">
        <v>1330</v>
      </c>
    </row>
    <row r="1407" spans="1:4" ht="24.75" customHeight="1">
      <c r="A1407" s="3" t="str">
        <f>"34892021110421110644053"</f>
        <v>34892021110421110644053</v>
      </c>
      <c r="B1407" s="3" t="s">
        <v>428</v>
      </c>
      <c r="C1407" s="3" t="str">
        <f>"李壮国"</f>
        <v>李壮国</v>
      </c>
      <c r="D1407" s="3" t="s">
        <v>1331</v>
      </c>
    </row>
    <row r="1408" spans="1:4" ht="24.75" customHeight="1">
      <c r="A1408" s="3" t="str">
        <f>"34892021110421114044055"</f>
        <v>34892021110421114044055</v>
      </c>
      <c r="B1408" s="3" t="s">
        <v>428</v>
      </c>
      <c r="C1408" s="3" t="str">
        <f>"羊娟娟"</f>
        <v>羊娟娟</v>
      </c>
      <c r="D1408" s="3" t="s">
        <v>1332</v>
      </c>
    </row>
    <row r="1409" spans="1:4" ht="24.75" customHeight="1">
      <c r="A1409" s="3" t="str">
        <f>"34892021110421114344056"</f>
        <v>34892021110421114344056</v>
      </c>
      <c r="B1409" s="3" t="s">
        <v>428</v>
      </c>
      <c r="C1409" s="3" t="str">
        <f>"苏良苹"</f>
        <v>苏良苹</v>
      </c>
      <c r="D1409" s="3" t="s">
        <v>1333</v>
      </c>
    </row>
    <row r="1410" spans="1:4" ht="24.75" customHeight="1">
      <c r="A1410" s="3" t="str">
        <f>"34892021110421114944058"</f>
        <v>34892021110421114944058</v>
      </c>
      <c r="B1410" s="3" t="s">
        <v>428</v>
      </c>
      <c r="C1410" s="3" t="str">
        <f>"黄赞权"</f>
        <v>黄赞权</v>
      </c>
      <c r="D1410" s="3" t="s">
        <v>1334</v>
      </c>
    </row>
    <row r="1411" spans="1:4" ht="24.75" customHeight="1">
      <c r="A1411" s="3" t="str">
        <f>"34892021110421130644060"</f>
        <v>34892021110421130644060</v>
      </c>
      <c r="B1411" s="3" t="s">
        <v>428</v>
      </c>
      <c r="C1411" s="3" t="str">
        <f>"梁真芸"</f>
        <v>梁真芸</v>
      </c>
      <c r="D1411" s="3" t="s">
        <v>1335</v>
      </c>
    </row>
    <row r="1412" spans="1:4" ht="24.75" customHeight="1">
      <c r="A1412" s="3" t="str">
        <f>"34892021110421143044065"</f>
        <v>34892021110421143044065</v>
      </c>
      <c r="B1412" s="3" t="s">
        <v>428</v>
      </c>
      <c r="C1412" s="3" t="str">
        <f>"郑以震"</f>
        <v>郑以震</v>
      </c>
      <c r="D1412" s="3" t="s">
        <v>1336</v>
      </c>
    </row>
    <row r="1413" spans="1:4" ht="24.75" customHeight="1">
      <c r="A1413" s="3" t="str">
        <f>"34892021110421175044071"</f>
        <v>34892021110421175044071</v>
      </c>
      <c r="B1413" s="3" t="s">
        <v>428</v>
      </c>
      <c r="C1413" s="3" t="str">
        <f>"王伊蕾"</f>
        <v>王伊蕾</v>
      </c>
      <c r="D1413" s="3" t="s">
        <v>387</v>
      </c>
    </row>
    <row r="1414" spans="1:4" ht="24.75" customHeight="1">
      <c r="A1414" s="3" t="str">
        <f>"34892021110421251944090"</f>
        <v>34892021110421251944090</v>
      </c>
      <c r="B1414" s="3" t="s">
        <v>428</v>
      </c>
      <c r="C1414" s="3" t="str">
        <f>"刘琳"</f>
        <v>刘琳</v>
      </c>
      <c r="D1414" s="3" t="s">
        <v>1337</v>
      </c>
    </row>
    <row r="1415" spans="1:4" ht="24.75" customHeight="1">
      <c r="A1415" s="3" t="str">
        <f>"34892021110421260944092"</f>
        <v>34892021110421260944092</v>
      </c>
      <c r="B1415" s="3" t="s">
        <v>428</v>
      </c>
      <c r="C1415" s="3" t="str">
        <f>"吴阳"</f>
        <v>吴阳</v>
      </c>
      <c r="D1415" s="3" t="s">
        <v>1338</v>
      </c>
    </row>
    <row r="1416" spans="1:4" ht="24.75" customHeight="1">
      <c r="A1416" s="3" t="str">
        <f>"34892021110421262444094"</f>
        <v>34892021110421262444094</v>
      </c>
      <c r="B1416" s="3" t="s">
        <v>428</v>
      </c>
      <c r="C1416" s="3" t="str">
        <f>"王威"</f>
        <v>王威</v>
      </c>
      <c r="D1416" s="3" t="s">
        <v>1339</v>
      </c>
    </row>
    <row r="1417" spans="1:4" ht="24.75" customHeight="1">
      <c r="A1417" s="3" t="str">
        <f>"34892021110421300244105"</f>
        <v>34892021110421300244105</v>
      </c>
      <c r="B1417" s="3" t="s">
        <v>428</v>
      </c>
      <c r="C1417" s="3" t="str">
        <f>"孙乐菊"</f>
        <v>孙乐菊</v>
      </c>
      <c r="D1417" s="3" t="s">
        <v>1340</v>
      </c>
    </row>
    <row r="1418" spans="1:4" ht="24.75" customHeight="1">
      <c r="A1418" s="3" t="str">
        <f>"34892021110421380844119"</f>
        <v>34892021110421380844119</v>
      </c>
      <c r="B1418" s="3" t="s">
        <v>428</v>
      </c>
      <c r="C1418" s="3" t="str">
        <f>"纪清海"</f>
        <v>纪清海</v>
      </c>
      <c r="D1418" s="3" t="s">
        <v>1341</v>
      </c>
    </row>
    <row r="1419" spans="1:4" ht="24.75" customHeight="1">
      <c r="A1419" s="3" t="str">
        <f>"34892021110421383344122"</f>
        <v>34892021110421383344122</v>
      </c>
      <c r="B1419" s="3" t="s">
        <v>428</v>
      </c>
      <c r="C1419" s="3" t="str">
        <f>"康同同"</f>
        <v>康同同</v>
      </c>
      <c r="D1419" s="3" t="s">
        <v>1342</v>
      </c>
    </row>
    <row r="1420" spans="1:4" ht="24.75" customHeight="1">
      <c r="A1420" s="3" t="str">
        <f>"34892021110421482344138"</f>
        <v>34892021110421482344138</v>
      </c>
      <c r="B1420" s="3" t="s">
        <v>428</v>
      </c>
      <c r="C1420" s="3" t="str">
        <f>"张文青"</f>
        <v>张文青</v>
      </c>
      <c r="D1420" s="3" t="s">
        <v>1343</v>
      </c>
    </row>
    <row r="1421" spans="1:4" ht="24.75" customHeight="1">
      <c r="A1421" s="3" t="str">
        <f>"34892021110421522944147"</f>
        <v>34892021110421522944147</v>
      </c>
      <c r="B1421" s="3" t="s">
        <v>428</v>
      </c>
      <c r="C1421" s="3" t="str">
        <f>"王玲"</f>
        <v>王玲</v>
      </c>
      <c r="D1421" s="3" t="s">
        <v>1344</v>
      </c>
    </row>
    <row r="1422" spans="1:4" ht="24.75" customHeight="1">
      <c r="A1422" s="3" t="str">
        <f>"34892021110421535744149"</f>
        <v>34892021110421535744149</v>
      </c>
      <c r="B1422" s="3" t="s">
        <v>428</v>
      </c>
      <c r="C1422" s="3" t="str">
        <f>"吴钟军"</f>
        <v>吴钟军</v>
      </c>
      <c r="D1422" s="3" t="s">
        <v>1345</v>
      </c>
    </row>
    <row r="1423" spans="1:4" ht="24.75" customHeight="1">
      <c r="A1423" s="3" t="str">
        <f>"34892021110421544744153"</f>
        <v>34892021110421544744153</v>
      </c>
      <c r="B1423" s="3" t="s">
        <v>428</v>
      </c>
      <c r="C1423" s="3" t="str">
        <f>"郭冉冉"</f>
        <v>郭冉冉</v>
      </c>
      <c r="D1423" s="3" t="s">
        <v>1346</v>
      </c>
    </row>
    <row r="1424" spans="1:4" ht="24.75" customHeight="1">
      <c r="A1424" s="3" t="str">
        <f>"34892021110421553644155"</f>
        <v>34892021110421553644155</v>
      </c>
      <c r="B1424" s="3" t="s">
        <v>428</v>
      </c>
      <c r="C1424" s="3" t="str">
        <f>"陈慨"</f>
        <v>陈慨</v>
      </c>
      <c r="D1424" s="3" t="s">
        <v>1347</v>
      </c>
    </row>
    <row r="1425" spans="1:4" ht="24.75" customHeight="1">
      <c r="A1425" s="3" t="str">
        <f>"34892021110422005944166"</f>
        <v>34892021110422005944166</v>
      </c>
      <c r="B1425" s="3" t="s">
        <v>428</v>
      </c>
      <c r="C1425" s="3" t="str">
        <f>"梁定腾"</f>
        <v>梁定腾</v>
      </c>
      <c r="D1425" s="3" t="s">
        <v>1348</v>
      </c>
    </row>
    <row r="1426" spans="1:4" ht="24.75" customHeight="1">
      <c r="A1426" s="3" t="str">
        <f>"34892021110422013144167"</f>
        <v>34892021110422013144167</v>
      </c>
      <c r="B1426" s="3" t="s">
        <v>428</v>
      </c>
      <c r="C1426" s="3" t="str">
        <f>"周克朱"</f>
        <v>周克朱</v>
      </c>
      <c r="D1426" s="3" t="s">
        <v>1349</v>
      </c>
    </row>
    <row r="1427" spans="1:4" ht="24.75" customHeight="1">
      <c r="A1427" s="3" t="str">
        <f>"34892021110422065544179"</f>
        <v>34892021110422065544179</v>
      </c>
      <c r="B1427" s="3" t="s">
        <v>428</v>
      </c>
      <c r="C1427" s="3" t="str">
        <f>"冯延景"</f>
        <v>冯延景</v>
      </c>
      <c r="D1427" s="3" t="s">
        <v>1350</v>
      </c>
    </row>
    <row r="1428" spans="1:4" ht="24.75" customHeight="1">
      <c r="A1428" s="3" t="str">
        <f>"34892021110422101744189"</f>
        <v>34892021110422101744189</v>
      </c>
      <c r="B1428" s="3" t="s">
        <v>428</v>
      </c>
      <c r="C1428" s="3" t="str">
        <f>"邓海平"</f>
        <v>邓海平</v>
      </c>
      <c r="D1428" s="3" t="s">
        <v>1351</v>
      </c>
    </row>
    <row r="1429" spans="1:4" ht="24.75" customHeight="1">
      <c r="A1429" s="3" t="str">
        <f>"34892021110422185144201"</f>
        <v>34892021110422185144201</v>
      </c>
      <c r="B1429" s="3" t="s">
        <v>428</v>
      </c>
      <c r="C1429" s="3" t="str">
        <f>"李琳"</f>
        <v>李琳</v>
      </c>
      <c r="D1429" s="3" t="s">
        <v>1352</v>
      </c>
    </row>
    <row r="1430" spans="1:4" ht="24.75" customHeight="1">
      <c r="A1430" s="3" t="str">
        <f>"34892021110422221544206"</f>
        <v>34892021110422221544206</v>
      </c>
      <c r="B1430" s="3" t="s">
        <v>428</v>
      </c>
      <c r="C1430" s="3" t="str">
        <f>"王凡逸"</f>
        <v>王凡逸</v>
      </c>
      <c r="D1430" s="3" t="s">
        <v>1353</v>
      </c>
    </row>
    <row r="1431" spans="1:4" ht="24.75" customHeight="1">
      <c r="A1431" s="3" t="str">
        <f>"34892021110422262144211"</f>
        <v>34892021110422262144211</v>
      </c>
      <c r="B1431" s="3" t="s">
        <v>428</v>
      </c>
      <c r="C1431" s="3" t="str">
        <f>"王秋"</f>
        <v>王秋</v>
      </c>
      <c r="D1431" s="3" t="s">
        <v>1354</v>
      </c>
    </row>
    <row r="1432" spans="1:4" ht="24.75" customHeight="1">
      <c r="A1432" s="3" t="str">
        <f>"34892021110422274244216"</f>
        <v>34892021110422274244216</v>
      </c>
      <c r="B1432" s="3" t="s">
        <v>428</v>
      </c>
      <c r="C1432" s="3" t="str">
        <f>"吴建爱"</f>
        <v>吴建爱</v>
      </c>
      <c r="D1432" s="3" t="s">
        <v>1355</v>
      </c>
    </row>
    <row r="1433" spans="1:4" ht="24.75" customHeight="1">
      <c r="A1433" s="3" t="str">
        <f>"34892021110422290844218"</f>
        <v>34892021110422290844218</v>
      </c>
      <c r="B1433" s="3" t="s">
        <v>428</v>
      </c>
      <c r="C1433" s="3" t="str">
        <f>"李若云"</f>
        <v>李若云</v>
      </c>
      <c r="D1433" s="3" t="s">
        <v>1356</v>
      </c>
    </row>
    <row r="1434" spans="1:4" ht="24.75" customHeight="1">
      <c r="A1434" s="3" t="str">
        <f>"34892021110422335844229"</f>
        <v>34892021110422335844229</v>
      </c>
      <c r="B1434" s="3" t="s">
        <v>428</v>
      </c>
      <c r="C1434" s="3" t="str">
        <f>"陈万晖"</f>
        <v>陈万晖</v>
      </c>
      <c r="D1434" s="3" t="s">
        <v>1357</v>
      </c>
    </row>
    <row r="1435" spans="1:4" ht="24.75" customHeight="1">
      <c r="A1435" s="3" t="str">
        <f>"34892021110422352344232"</f>
        <v>34892021110422352344232</v>
      </c>
      <c r="B1435" s="3" t="s">
        <v>428</v>
      </c>
      <c r="C1435" s="3" t="str">
        <f>"郭海娜"</f>
        <v>郭海娜</v>
      </c>
      <c r="D1435" s="3" t="s">
        <v>1358</v>
      </c>
    </row>
    <row r="1436" spans="1:4" ht="24.75" customHeight="1">
      <c r="A1436" s="3" t="str">
        <f>"34892021110422374944235"</f>
        <v>34892021110422374944235</v>
      </c>
      <c r="B1436" s="3" t="s">
        <v>428</v>
      </c>
      <c r="C1436" s="3" t="str">
        <f>"陈奕锦"</f>
        <v>陈奕锦</v>
      </c>
      <c r="D1436" s="3" t="s">
        <v>1359</v>
      </c>
    </row>
    <row r="1437" spans="1:4" ht="24.75" customHeight="1">
      <c r="A1437" s="3" t="str">
        <f>"34892021110422375344236"</f>
        <v>34892021110422375344236</v>
      </c>
      <c r="B1437" s="3" t="s">
        <v>428</v>
      </c>
      <c r="C1437" s="3" t="str">
        <f>"黎天绿"</f>
        <v>黎天绿</v>
      </c>
      <c r="D1437" s="3" t="s">
        <v>142</v>
      </c>
    </row>
    <row r="1438" spans="1:4" ht="24.75" customHeight="1">
      <c r="A1438" s="3" t="str">
        <f>"34892021110422430044247"</f>
        <v>34892021110422430044247</v>
      </c>
      <c r="B1438" s="3" t="s">
        <v>428</v>
      </c>
      <c r="C1438" s="3" t="str">
        <f>"张婷婷"</f>
        <v>张婷婷</v>
      </c>
      <c r="D1438" s="3" t="s">
        <v>1360</v>
      </c>
    </row>
    <row r="1439" spans="1:4" ht="24.75" customHeight="1">
      <c r="A1439" s="3" t="str">
        <f>"34892021110422431444248"</f>
        <v>34892021110422431444248</v>
      </c>
      <c r="B1439" s="3" t="s">
        <v>428</v>
      </c>
      <c r="C1439" s="3" t="str">
        <f>"吴挺伟"</f>
        <v>吴挺伟</v>
      </c>
      <c r="D1439" s="3" t="s">
        <v>1361</v>
      </c>
    </row>
    <row r="1440" spans="1:4" ht="24.75" customHeight="1">
      <c r="A1440" s="3" t="str">
        <f>"34892021110422465144251"</f>
        <v>34892021110422465144251</v>
      </c>
      <c r="B1440" s="3" t="s">
        <v>428</v>
      </c>
      <c r="C1440" s="3" t="str">
        <f>"林道利"</f>
        <v>林道利</v>
      </c>
      <c r="D1440" s="3" t="s">
        <v>1362</v>
      </c>
    </row>
    <row r="1441" spans="1:4" ht="24.75" customHeight="1">
      <c r="A1441" s="3" t="str">
        <f>"34892021110422483944257"</f>
        <v>34892021110422483944257</v>
      </c>
      <c r="B1441" s="3" t="s">
        <v>428</v>
      </c>
      <c r="C1441" s="3" t="str">
        <f>"潘荣雪"</f>
        <v>潘荣雪</v>
      </c>
      <c r="D1441" s="3" t="s">
        <v>1363</v>
      </c>
    </row>
    <row r="1442" spans="1:4" ht="24.75" customHeight="1">
      <c r="A1442" s="3" t="str">
        <f>"34892021110422524844266"</f>
        <v>34892021110422524844266</v>
      </c>
      <c r="B1442" s="3" t="s">
        <v>428</v>
      </c>
      <c r="C1442" s="3" t="str">
        <f>"王玉银"</f>
        <v>王玉银</v>
      </c>
      <c r="D1442" s="3" t="s">
        <v>1364</v>
      </c>
    </row>
    <row r="1443" spans="1:4" ht="24.75" customHeight="1">
      <c r="A1443" s="3" t="str">
        <f>"34892021110422592544277"</f>
        <v>34892021110422592544277</v>
      </c>
      <c r="B1443" s="3" t="s">
        <v>428</v>
      </c>
      <c r="C1443" s="3" t="str">
        <f>"陈嘉琪"</f>
        <v>陈嘉琪</v>
      </c>
      <c r="D1443" s="3" t="s">
        <v>1365</v>
      </c>
    </row>
    <row r="1444" spans="1:4" ht="24.75" customHeight="1">
      <c r="A1444" s="3" t="str">
        <f>"34892021110423060844288"</f>
        <v>34892021110423060844288</v>
      </c>
      <c r="B1444" s="3" t="s">
        <v>428</v>
      </c>
      <c r="C1444" s="3" t="str">
        <f>"赖芸"</f>
        <v>赖芸</v>
      </c>
      <c r="D1444" s="3" t="s">
        <v>1366</v>
      </c>
    </row>
    <row r="1445" spans="1:4" ht="24.75" customHeight="1">
      <c r="A1445" s="3" t="str">
        <f>"34892021110423070844289"</f>
        <v>34892021110423070844289</v>
      </c>
      <c r="B1445" s="3" t="s">
        <v>428</v>
      </c>
      <c r="C1445" s="3" t="str">
        <f>"吴小凤"</f>
        <v>吴小凤</v>
      </c>
      <c r="D1445" s="3" t="s">
        <v>1367</v>
      </c>
    </row>
    <row r="1446" spans="1:4" ht="24.75" customHeight="1">
      <c r="A1446" s="3" t="str">
        <f>"34892021110423080144291"</f>
        <v>34892021110423080144291</v>
      </c>
      <c r="B1446" s="3" t="s">
        <v>428</v>
      </c>
      <c r="C1446" s="3" t="str">
        <f>"苏建源"</f>
        <v>苏建源</v>
      </c>
      <c r="D1446" s="3" t="s">
        <v>1368</v>
      </c>
    </row>
    <row r="1447" spans="1:4" ht="24.75" customHeight="1">
      <c r="A1447" s="3" t="str">
        <f>"34892021110423080644292"</f>
        <v>34892021110423080644292</v>
      </c>
      <c r="B1447" s="3" t="s">
        <v>428</v>
      </c>
      <c r="C1447" s="3" t="str">
        <f>"林鲁信"</f>
        <v>林鲁信</v>
      </c>
      <c r="D1447" s="3" t="s">
        <v>1369</v>
      </c>
    </row>
    <row r="1448" spans="1:4" ht="24.75" customHeight="1">
      <c r="A1448" s="3" t="str">
        <f>"34892021110423141144297"</f>
        <v>34892021110423141144297</v>
      </c>
      <c r="B1448" s="3" t="s">
        <v>428</v>
      </c>
      <c r="C1448" s="3" t="str">
        <f>"符文娆"</f>
        <v>符文娆</v>
      </c>
      <c r="D1448" s="3" t="s">
        <v>1370</v>
      </c>
    </row>
    <row r="1449" spans="1:4" ht="24.75" customHeight="1">
      <c r="A1449" s="3" t="str">
        <f>"34892021110423214544305"</f>
        <v>34892021110423214544305</v>
      </c>
      <c r="B1449" s="3" t="s">
        <v>428</v>
      </c>
      <c r="C1449" s="3" t="str">
        <f>"黄金勇"</f>
        <v>黄金勇</v>
      </c>
      <c r="D1449" s="3" t="s">
        <v>1371</v>
      </c>
    </row>
    <row r="1450" spans="1:4" ht="24.75" customHeight="1">
      <c r="A1450" s="3" t="str">
        <f>"34892021110423270044313"</f>
        <v>34892021110423270044313</v>
      </c>
      <c r="B1450" s="3" t="s">
        <v>428</v>
      </c>
      <c r="C1450" s="3" t="str">
        <f>"易贇"</f>
        <v>易贇</v>
      </c>
      <c r="D1450" s="3" t="s">
        <v>1372</v>
      </c>
    </row>
    <row r="1451" spans="1:4" ht="24.75" customHeight="1">
      <c r="A1451" s="3" t="str">
        <f>"34892021110423293744318"</f>
        <v>34892021110423293744318</v>
      </c>
      <c r="B1451" s="3" t="s">
        <v>428</v>
      </c>
      <c r="C1451" s="3" t="str">
        <f>"陈夏月"</f>
        <v>陈夏月</v>
      </c>
      <c r="D1451" s="3" t="s">
        <v>1373</v>
      </c>
    </row>
    <row r="1452" spans="1:4" ht="24.75" customHeight="1">
      <c r="A1452" s="3" t="str">
        <f>"34892021110423312644321"</f>
        <v>34892021110423312644321</v>
      </c>
      <c r="B1452" s="3" t="s">
        <v>428</v>
      </c>
      <c r="C1452" s="3" t="str">
        <f>"蒙嘉潆"</f>
        <v>蒙嘉潆</v>
      </c>
      <c r="D1452" s="3" t="s">
        <v>1374</v>
      </c>
    </row>
    <row r="1453" spans="1:4" ht="24.75" customHeight="1">
      <c r="A1453" s="3" t="str">
        <f>"34892021110423343544322"</f>
        <v>34892021110423343544322</v>
      </c>
      <c r="B1453" s="3" t="s">
        <v>428</v>
      </c>
      <c r="C1453" s="3" t="str">
        <f>"王莹"</f>
        <v>王莹</v>
      </c>
      <c r="D1453" s="3" t="s">
        <v>1375</v>
      </c>
    </row>
    <row r="1454" spans="1:4" ht="24.75" customHeight="1">
      <c r="A1454" s="3" t="str">
        <f>"34892021110423371244324"</f>
        <v>34892021110423371244324</v>
      </c>
      <c r="B1454" s="3" t="s">
        <v>428</v>
      </c>
      <c r="C1454" s="3" t="str">
        <f>"王雅"</f>
        <v>王雅</v>
      </c>
      <c r="D1454" s="3" t="s">
        <v>1376</v>
      </c>
    </row>
    <row r="1455" spans="1:4" ht="24.75" customHeight="1">
      <c r="A1455" s="3" t="str">
        <f>"34892021110423382544326"</f>
        <v>34892021110423382544326</v>
      </c>
      <c r="B1455" s="3" t="s">
        <v>428</v>
      </c>
      <c r="C1455" s="3" t="str">
        <f>"唐珠婷"</f>
        <v>唐珠婷</v>
      </c>
      <c r="D1455" s="3" t="s">
        <v>1377</v>
      </c>
    </row>
    <row r="1456" spans="1:4" ht="24.75" customHeight="1">
      <c r="A1456" s="3" t="str">
        <f>"34892021110423475044333"</f>
        <v>34892021110423475044333</v>
      </c>
      <c r="B1456" s="3" t="s">
        <v>428</v>
      </c>
      <c r="C1456" s="3" t="str">
        <f>"王宏森"</f>
        <v>王宏森</v>
      </c>
      <c r="D1456" s="3" t="s">
        <v>1378</v>
      </c>
    </row>
    <row r="1457" spans="1:4" ht="24.75" customHeight="1">
      <c r="A1457" s="3" t="str">
        <f>"34892021110423492744335"</f>
        <v>34892021110423492744335</v>
      </c>
      <c r="B1457" s="3" t="s">
        <v>428</v>
      </c>
      <c r="C1457" s="3" t="str">
        <f>"温伯婵"</f>
        <v>温伯婵</v>
      </c>
      <c r="D1457" s="3" t="s">
        <v>1379</v>
      </c>
    </row>
    <row r="1458" spans="1:4" ht="24.75" customHeight="1">
      <c r="A1458" s="3" t="str">
        <f>"34892021110500262644351"</f>
        <v>34892021110500262644351</v>
      </c>
      <c r="B1458" s="3" t="s">
        <v>428</v>
      </c>
      <c r="C1458" s="3" t="str">
        <f>"陈其威"</f>
        <v>陈其威</v>
      </c>
      <c r="D1458" s="3" t="s">
        <v>1380</v>
      </c>
    </row>
    <row r="1459" spans="1:4" ht="24.75" customHeight="1">
      <c r="A1459" s="3" t="str">
        <f>"34892021110500482544359"</f>
        <v>34892021110500482544359</v>
      </c>
      <c r="B1459" s="3" t="s">
        <v>428</v>
      </c>
      <c r="C1459" s="3" t="str">
        <f>"王秋忠"</f>
        <v>王秋忠</v>
      </c>
      <c r="D1459" s="3" t="s">
        <v>1381</v>
      </c>
    </row>
    <row r="1460" spans="1:4" ht="24.75" customHeight="1">
      <c r="A1460" s="3" t="str">
        <f>"34892021110500514744360"</f>
        <v>34892021110500514744360</v>
      </c>
      <c r="B1460" s="3" t="s">
        <v>428</v>
      </c>
      <c r="C1460" s="3" t="str">
        <f>"谭春日"</f>
        <v>谭春日</v>
      </c>
      <c r="D1460" s="3" t="s">
        <v>1382</v>
      </c>
    </row>
    <row r="1461" spans="1:4" ht="24.75" customHeight="1">
      <c r="A1461" s="3" t="str">
        <f>"34892021110500551244361"</f>
        <v>34892021110500551244361</v>
      </c>
      <c r="B1461" s="3" t="s">
        <v>428</v>
      </c>
      <c r="C1461" s="3" t="str">
        <f>"谭春月"</f>
        <v>谭春月</v>
      </c>
      <c r="D1461" s="3" t="s">
        <v>1383</v>
      </c>
    </row>
    <row r="1462" spans="1:4" ht="24.75" customHeight="1">
      <c r="A1462" s="3" t="str">
        <f>"34892021110507501544395"</f>
        <v>34892021110507501544395</v>
      </c>
      <c r="B1462" s="3" t="s">
        <v>428</v>
      </c>
      <c r="C1462" s="3" t="str">
        <f>"何子莹"</f>
        <v>何子莹</v>
      </c>
      <c r="D1462" s="3" t="s">
        <v>1384</v>
      </c>
    </row>
    <row r="1463" spans="1:4" ht="24.75" customHeight="1">
      <c r="A1463" s="3" t="str">
        <f>"34892021110508124144412"</f>
        <v>34892021110508124144412</v>
      </c>
      <c r="B1463" s="3" t="s">
        <v>428</v>
      </c>
      <c r="C1463" s="3" t="str">
        <f>"程源"</f>
        <v>程源</v>
      </c>
      <c r="D1463" s="3" t="s">
        <v>1385</v>
      </c>
    </row>
    <row r="1464" spans="1:4" ht="24.75" customHeight="1">
      <c r="A1464" s="3" t="str">
        <f>"34892021110508154544415"</f>
        <v>34892021110508154544415</v>
      </c>
      <c r="B1464" s="3" t="s">
        <v>428</v>
      </c>
      <c r="C1464" s="3" t="str">
        <f>"王业江"</f>
        <v>王业江</v>
      </c>
      <c r="D1464" s="3" t="s">
        <v>1386</v>
      </c>
    </row>
    <row r="1465" spans="1:4" ht="24.75" customHeight="1">
      <c r="A1465" s="3" t="str">
        <f>"34892021110508231544435"</f>
        <v>34892021110508231544435</v>
      </c>
      <c r="B1465" s="3" t="s">
        <v>428</v>
      </c>
      <c r="C1465" s="3" t="str">
        <f>"胡春秋"</f>
        <v>胡春秋</v>
      </c>
      <c r="D1465" s="3" t="s">
        <v>1387</v>
      </c>
    </row>
    <row r="1466" spans="1:4" ht="24.75" customHeight="1">
      <c r="A1466" s="3" t="str">
        <f>"34892021110508260644439"</f>
        <v>34892021110508260644439</v>
      </c>
      <c r="B1466" s="3" t="s">
        <v>428</v>
      </c>
      <c r="C1466" s="3" t="str">
        <f>"蔡承润"</f>
        <v>蔡承润</v>
      </c>
      <c r="D1466" s="3" t="s">
        <v>1388</v>
      </c>
    </row>
    <row r="1467" spans="1:4" ht="24.75" customHeight="1">
      <c r="A1467" s="3" t="str">
        <f>"34892021110508321344448"</f>
        <v>34892021110508321344448</v>
      </c>
      <c r="B1467" s="3" t="s">
        <v>428</v>
      </c>
      <c r="C1467" s="3" t="str">
        <f>"郑在恒"</f>
        <v>郑在恒</v>
      </c>
      <c r="D1467" s="3" t="s">
        <v>1389</v>
      </c>
    </row>
    <row r="1468" spans="1:4" ht="24.75" customHeight="1">
      <c r="A1468" s="3" t="str">
        <f>"34892021110508391144465"</f>
        <v>34892021110508391144465</v>
      </c>
      <c r="B1468" s="3" t="s">
        <v>428</v>
      </c>
      <c r="C1468" s="3" t="str">
        <f>"吴有勇"</f>
        <v>吴有勇</v>
      </c>
      <c r="D1468" s="3" t="s">
        <v>1390</v>
      </c>
    </row>
    <row r="1469" spans="1:4" ht="24.75" customHeight="1">
      <c r="A1469" s="3" t="str">
        <f>"34892021110508404144468"</f>
        <v>34892021110508404144468</v>
      </c>
      <c r="B1469" s="3" t="s">
        <v>428</v>
      </c>
      <c r="C1469" s="3" t="str">
        <f>"刘裕花"</f>
        <v>刘裕花</v>
      </c>
      <c r="D1469" s="3" t="s">
        <v>1391</v>
      </c>
    </row>
    <row r="1470" spans="1:4" ht="24.75" customHeight="1">
      <c r="A1470" s="3" t="str">
        <f>"34892021110508420544470"</f>
        <v>34892021110508420544470</v>
      </c>
      <c r="B1470" s="3" t="s">
        <v>428</v>
      </c>
      <c r="C1470" s="3" t="str">
        <f>"王强"</f>
        <v>王强</v>
      </c>
      <c r="D1470" s="3" t="s">
        <v>1392</v>
      </c>
    </row>
    <row r="1471" spans="1:4" ht="24.75" customHeight="1">
      <c r="A1471" s="3" t="str">
        <f>"34892021110508435444475"</f>
        <v>34892021110508435444475</v>
      </c>
      <c r="B1471" s="3" t="s">
        <v>428</v>
      </c>
      <c r="C1471" s="3" t="str">
        <f>"张琼姜"</f>
        <v>张琼姜</v>
      </c>
      <c r="D1471" s="3" t="s">
        <v>1336</v>
      </c>
    </row>
    <row r="1472" spans="1:4" ht="24.75" customHeight="1">
      <c r="A1472" s="3" t="str">
        <f>"34892021110508470544482"</f>
        <v>34892021110508470544482</v>
      </c>
      <c r="B1472" s="3" t="s">
        <v>428</v>
      </c>
      <c r="C1472" s="3" t="str">
        <f>"王添"</f>
        <v>王添</v>
      </c>
      <c r="D1472" s="3" t="s">
        <v>577</v>
      </c>
    </row>
    <row r="1473" spans="1:4" ht="24.75" customHeight="1">
      <c r="A1473" s="3" t="str">
        <f>"34892021110508470844483"</f>
        <v>34892021110508470844483</v>
      </c>
      <c r="B1473" s="3" t="s">
        <v>428</v>
      </c>
      <c r="C1473" s="3" t="str">
        <f>"陈美娟"</f>
        <v>陈美娟</v>
      </c>
      <c r="D1473" s="3" t="s">
        <v>1393</v>
      </c>
    </row>
    <row r="1474" spans="1:4" ht="24.75" customHeight="1">
      <c r="A1474" s="3" t="str">
        <f>"34892021110508482344485"</f>
        <v>34892021110508482344485</v>
      </c>
      <c r="B1474" s="3" t="s">
        <v>428</v>
      </c>
      <c r="C1474" s="3" t="str">
        <f>"羊传宝"</f>
        <v>羊传宝</v>
      </c>
      <c r="D1474" s="3" t="s">
        <v>1394</v>
      </c>
    </row>
    <row r="1475" spans="1:4" ht="24.75" customHeight="1">
      <c r="A1475" s="3" t="str">
        <f>"34892021110508564644501"</f>
        <v>34892021110508564644501</v>
      </c>
      <c r="B1475" s="3" t="s">
        <v>428</v>
      </c>
      <c r="C1475" s="3" t="str">
        <f>"符玉灵"</f>
        <v>符玉灵</v>
      </c>
      <c r="D1475" s="3" t="s">
        <v>444</v>
      </c>
    </row>
    <row r="1476" spans="1:4" ht="24.75" customHeight="1">
      <c r="A1476" s="3" t="str">
        <f>"34892021110508565044502"</f>
        <v>34892021110508565044502</v>
      </c>
      <c r="B1476" s="3" t="s">
        <v>428</v>
      </c>
      <c r="C1476" s="3" t="str">
        <f>"蒋桂娇"</f>
        <v>蒋桂娇</v>
      </c>
      <c r="D1476" s="3" t="s">
        <v>274</v>
      </c>
    </row>
    <row r="1477" spans="1:4" ht="24.75" customHeight="1">
      <c r="A1477" s="3" t="str">
        <f>"34892021110508592144506"</f>
        <v>34892021110508592144506</v>
      </c>
      <c r="B1477" s="3" t="s">
        <v>428</v>
      </c>
      <c r="C1477" s="3" t="str">
        <f>"孙蕾"</f>
        <v>孙蕾</v>
      </c>
      <c r="D1477" s="3" t="s">
        <v>1395</v>
      </c>
    </row>
    <row r="1478" spans="1:4" ht="24.75" customHeight="1">
      <c r="A1478" s="3" t="str">
        <f>"34892021110509013444510"</f>
        <v>34892021110509013444510</v>
      </c>
      <c r="B1478" s="3" t="s">
        <v>428</v>
      </c>
      <c r="C1478" s="3" t="str">
        <f>"邱名娟"</f>
        <v>邱名娟</v>
      </c>
      <c r="D1478" s="3" t="s">
        <v>1396</v>
      </c>
    </row>
    <row r="1479" spans="1:4" ht="24.75" customHeight="1">
      <c r="A1479" s="3" t="str">
        <f>"34892021110509094344524"</f>
        <v>34892021110509094344524</v>
      </c>
      <c r="B1479" s="3" t="s">
        <v>428</v>
      </c>
      <c r="C1479" s="3" t="str">
        <f>"王小兰"</f>
        <v>王小兰</v>
      </c>
      <c r="D1479" s="3" t="s">
        <v>1397</v>
      </c>
    </row>
    <row r="1480" spans="1:4" ht="24.75" customHeight="1">
      <c r="A1480" s="3" t="str">
        <f>"34892021110509104044526"</f>
        <v>34892021110509104044526</v>
      </c>
      <c r="B1480" s="3" t="s">
        <v>428</v>
      </c>
      <c r="C1480" s="3" t="str">
        <f>"王钦"</f>
        <v>王钦</v>
      </c>
      <c r="D1480" s="3" t="s">
        <v>1398</v>
      </c>
    </row>
    <row r="1481" spans="1:4" ht="24.75" customHeight="1">
      <c r="A1481" s="3" t="str">
        <f>"34892021110509132444534"</f>
        <v>34892021110509132444534</v>
      </c>
      <c r="B1481" s="3" t="s">
        <v>428</v>
      </c>
      <c r="C1481" s="3" t="str">
        <f>"叶春燕"</f>
        <v>叶春燕</v>
      </c>
      <c r="D1481" s="3" t="s">
        <v>1399</v>
      </c>
    </row>
    <row r="1482" spans="1:4" ht="24.75" customHeight="1">
      <c r="A1482" s="3" t="str">
        <f>"34892021110509140544538"</f>
        <v>34892021110509140544538</v>
      </c>
      <c r="B1482" s="3" t="s">
        <v>428</v>
      </c>
      <c r="C1482" s="3" t="str">
        <f>"林新景"</f>
        <v>林新景</v>
      </c>
      <c r="D1482" s="3" t="s">
        <v>1400</v>
      </c>
    </row>
    <row r="1483" spans="1:4" ht="24.75" customHeight="1">
      <c r="A1483" s="3" t="str">
        <f>"34892021110509140844539"</f>
        <v>34892021110509140844539</v>
      </c>
      <c r="B1483" s="3" t="s">
        <v>428</v>
      </c>
      <c r="C1483" s="3" t="str">
        <f>"李婉君"</f>
        <v>李婉君</v>
      </c>
      <c r="D1483" s="3" t="s">
        <v>262</v>
      </c>
    </row>
    <row r="1484" spans="1:4" ht="24.75" customHeight="1">
      <c r="A1484" s="3" t="str">
        <f>"34892021110509152444543"</f>
        <v>34892021110509152444543</v>
      </c>
      <c r="B1484" s="3" t="s">
        <v>428</v>
      </c>
      <c r="C1484" s="3" t="str">
        <f>"王丽君"</f>
        <v>王丽君</v>
      </c>
      <c r="D1484" s="3" t="s">
        <v>1401</v>
      </c>
    </row>
    <row r="1485" spans="1:4" ht="24.75" customHeight="1">
      <c r="A1485" s="3" t="str">
        <f>"34892021110509152744544"</f>
        <v>34892021110509152744544</v>
      </c>
      <c r="B1485" s="3" t="s">
        <v>428</v>
      </c>
      <c r="C1485" s="3" t="str">
        <f>"毛海姣"</f>
        <v>毛海姣</v>
      </c>
      <c r="D1485" s="3" t="s">
        <v>1402</v>
      </c>
    </row>
    <row r="1486" spans="1:4" ht="24.75" customHeight="1">
      <c r="A1486" s="3" t="str">
        <f>"34892021110509182844554"</f>
        <v>34892021110509182844554</v>
      </c>
      <c r="B1486" s="3" t="s">
        <v>428</v>
      </c>
      <c r="C1486" s="3" t="str">
        <f>"李琛"</f>
        <v>李琛</v>
      </c>
      <c r="D1486" s="3" t="s">
        <v>1403</v>
      </c>
    </row>
    <row r="1487" spans="1:4" ht="24.75" customHeight="1">
      <c r="A1487" s="3" t="str">
        <f>"34892021110509314044588"</f>
        <v>34892021110509314044588</v>
      </c>
      <c r="B1487" s="3" t="s">
        <v>428</v>
      </c>
      <c r="C1487" s="3" t="str">
        <f>"李萍"</f>
        <v>李萍</v>
      </c>
      <c r="D1487" s="3" t="s">
        <v>1404</v>
      </c>
    </row>
    <row r="1488" spans="1:4" ht="24.75" customHeight="1">
      <c r="A1488" s="3" t="str">
        <f>"34892021110509370944604"</f>
        <v>34892021110509370944604</v>
      </c>
      <c r="B1488" s="3" t="s">
        <v>428</v>
      </c>
      <c r="C1488" s="3" t="str">
        <f>"颜海元"</f>
        <v>颜海元</v>
      </c>
      <c r="D1488" s="3" t="s">
        <v>1405</v>
      </c>
    </row>
    <row r="1489" spans="1:4" ht="24.75" customHeight="1">
      <c r="A1489" s="3" t="str">
        <f>"34892021110509425144620"</f>
        <v>34892021110509425144620</v>
      </c>
      <c r="B1489" s="3" t="s">
        <v>428</v>
      </c>
      <c r="C1489" s="3" t="str">
        <f>"钟敦金"</f>
        <v>钟敦金</v>
      </c>
      <c r="D1489" s="3" t="s">
        <v>1406</v>
      </c>
    </row>
    <row r="1490" spans="1:4" ht="24.75" customHeight="1">
      <c r="A1490" s="3" t="str">
        <f>"34892021110509435544622"</f>
        <v>34892021110509435544622</v>
      </c>
      <c r="B1490" s="3" t="s">
        <v>428</v>
      </c>
      <c r="C1490" s="3" t="str">
        <f>"邢益干"</f>
        <v>邢益干</v>
      </c>
      <c r="D1490" s="3" t="s">
        <v>486</v>
      </c>
    </row>
    <row r="1491" spans="1:4" ht="24.75" customHeight="1">
      <c r="A1491" s="3" t="str">
        <f>"34892021110509460644628"</f>
        <v>34892021110509460644628</v>
      </c>
      <c r="B1491" s="3" t="s">
        <v>428</v>
      </c>
      <c r="C1491" s="3" t="str">
        <f>"王景贤"</f>
        <v>王景贤</v>
      </c>
      <c r="D1491" s="3" t="s">
        <v>1407</v>
      </c>
    </row>
    <row r="1492" spans="1:4" ht="24.75" customHeight="1">
      <c r="A1492" s="3" t="str">
        <f>"34892021110509513044641"</f>
        <v>34892021110509513044641</v>
      </c>
      <c r="B1492" s="3" t="s">
        <v>428</v>
      </c>
      <c r="C1492" s="3" t="str">
        <f>"黄越"</f>
        <v>黄越</v>
      </c>
      <c r="D1492" s="3" t="s">
        <v>1408</v>
      </c>
    </row>
    <row r="1493" spans="1:4" ht="24.75" customHeight="1">
      <c r="A1493" s="3" t="str">
        <f>"34892021110509525944646"</f>
        <v>34892021110509525944646</v>
      </c>
      <c r="B1493" s="3" t="s">
        <v>428</v>
      </c>
      <c r="C1493" s="3" t="str">
        <f>"胡连教"</f>
        <v>胡连教</v>
      </c>
      <c r="D1493" s="3" t="s">
        <v>1409</v>
      </c>
    </row>
    <row r="1494" spans="1:4" ht="24.75" customHeight="1">
      <c r="A1494" s="3" t="str">
        <f>"34892021110510035144668"</f>
        <v>34892021110510035144668</v>
      </c>
      <c r="B1494" s="3" t="s">
        <v>428</v>
      </c>
      <c r="C1494" s="3" t="str">
        <f>"林娇丽"</f>
        <v>林娇丽</v>
      </c>
      <c r="D1494" s="3" t="s">
        <v>496</v>
      </c>
    </row>
    <row r="1495" spans="1:4" ht="24.75" customHeight="1">
      <c r="A1495" s="3" t="str">
        <f>"34892021110510112644686"</f>
        <v>34892021110510112644686</v>
      </c>
      <c r="B1495" s="3" t="s">
        <v>428</v>
      </c>
      <c r="C1495" s="3" t="str">
        <f>"林春宛"</f>
        <v>林春宛</v>
      </c>
      <c r="D1495" s="3" t="s">
        <v>1410</v>
      </c>
    </row>
    <row r="1496" spans="1:4" ht="24.75" customHeight="1">
      <c r="A1496" s="3" t="str">
        <f>"34892021110510124444690"</f>
        <v>34892021110510124444690</v>
      </c>
      <c r="B1496" s="3" t="s">
        <v>428</v>
      </c>
      <c r="C1496" s="3" t="str">
        <f>"马少杰"</f>
        <v>马少杰</v>
      </c>
      <c r="D1496" s="3" t="s">
        <v>1411</v>
      </c>
    </row>
    <row r="1497" spans="1:4" ht="24.75" customHeight="1">
      <c r="A1497" s="3" t="str">
        <f>"34892021110510145044697"</f>
        <v>34892021110510145044697</v>
      </c>
      <c r="B1497" s="3" t="s">
        <v>428</v>
      </c>
      <c r="C1497" s="3" t="str">
        <f>"吴祥瑞"</f>
        <v>吴祥瑞</v>
      </c>
      <c r="D1497" s="3" t="s">
        <v>1412</v>
      </c>
    </row>
    <row r="1498" spans="1:4" ht="24.75" customHeight="1">
      <c r="A1498" s="3" t="str">
        <f>"34892021110510162144701"</f>
        <v>34892021110510162144701</v>
      </c>
      <c r="B1498" s="3" t="s">
        <v>428</v>
      </c>
      <c r="C1498" s="3" t="str">
        <f>"张馨予"</f>
        <v>张馨予</v>
      </c>
      <c r="D1498" s="3" t="s">
        <v>1413</v>
      </c>
    </row>
    <row r="1499" spans="1:4" ht="24.75" customHeight="1">
      <c r="A1499" s="3" t="str">
        <f>"34892021110510162344702"</f>
        <v>34892021110510162344702</v>
      </c>
      <c r="B1499" s="3" t="s">
        <v>428</v>
      </c>
      <c r="C1499" s="3" t="str">
        <f>"王懋丰"</f>
        <v>王懋丰</v>
      </c>
      <c r="D1499" s="3" t="s">
        <v>1414</v>
      </c>
    </row>
    <row r="1500" spans="1:4" ht="24.75" customHeight="1">
      <c r="A1500" s="3" t="str">
        <f>"34892021110510224944731"</f>
        <v>34892021110510224944731</v>
      </c>
      <c r="B1500" s="3" t="s">
        <v>428</v>
      </c>
      <c r="C1500" s="3" t="str">
        <f>"李暖香"</f>
        <v>李暖香</v>
      </c>
      <c r="D1500" s="3" t="s">
        <v>1415</v>
      </c>
    </row>
    <row r="1501" spans="1:4" ht="24.75" customHeight="1">
      <c r="A1501" s="3" t="str">
        <f>"34892021110510263144744"</f>
        <v>34892021110510263144744</v>
      </c>
      <c r="B1501" s="3" t="s">
        <v>428</v>
      </c>
      <c r="C1501" s="3" t="str">
        <f>"符芳义"</f>
        <v>符芳义</v>
      </c>
      <c r="D1501" s="3" t="s">
        <v>1416</v>
      </c>
    </row>
    <row r="1502" spans="1:4" ht="24.75" customHeight="1">
      <c r="A1502" s="3" t="str">
        <f>"34892021110510264044745"</f>
        <v>34892021110510264044745</v>
      </c>
      <c r="B1502" s="3" t="s">
        <v>428</v>
      </c>
      <c r="C1502" s="3" t="str">
        <f>"钟赞臣"</f>
        <v>钟赞臣</v>
      </c>
      <c r="D1502" s="3" t="s">
        <v>1417</v>
      </c>
    </row>
    <row r="1503" spans="1:4" ht="24.75" customHeight="1">
      <c r="A1503" s="3" t="str">
        <f>"34892021110510351444761"</f>
        <v>34892021110510351444761</v>
      </c>
      <c r="B1503" s="3" t="s">
        <v>428</v>
      </c>
      <c r="C1503" s="3" t="str">
        <f>"邱慧妙"</f>
        <v>邱慧妙</v>
      </c>
      <c r="D1503" s="3" t="s">
        <v>1418</v>
      </c>
    </row>
    <row r="1504" spans="1:4" ht="24.75" customHeight="1">
      <c r="A1504" s="3" t="str">
        <f>"34892021110510384644777"</f>
        <v>34892021110510384644777</v>
      </c>
      <c r="B1504" s="3" t="s">
        <v>428</v>
      </c>
      <c r="C1504" s="3" t="str">
        <f>"杨裕豪"</f>
        <v>杨裕豪</v>
      </c>
      <c r="D1504" s="3" t="s">
        <v>1419</v>
      </c>
    </row>
    <row r="1505" spans="1:4" ht="24.75" customHeight="1">
      <c r="A1505" s="3" t="str">
        <f>"34892021110510415444781"</f>
        <v>34892021110510415444781</v>
      </c>
      <c r="B1505" s="3" t="s">
        <v>428</v>
      </c>
      <c r="C1505" s="3" t="str">
        <f>"李莉"</f>
        <v>李莉</v>
      </c>
      <c r="D1505" s="3" t="s">
        <v>1420</v>
      </c>
    </row>
    <row r="1506" spans="1:4" ht="24.75" customHeight="1">
      <c r="A1506" s="3" t="str">
        <f>"34892021110510464944794"</f>
        <v>34892021110510464944794</v>
      </c>
      <c r="B1506" s="3" t="s">
        <v>428</v>
      </c>
      <c r="C1506" s="3" t="str">
        <f>"陈家鹏"</f>
        <v>陈家鹏</v>
      </c>
      <c r="D1506" s="3" t="s">
        <v>1421</v>
      </c>
    </row>
    <row r="1507" spans="1:4" ht="24.75" customHeight="1">
      <c r="A1507" s="3" t="str">
        <f>"34892021110510495344803"</f>
        <v>34892021110510495344803</v>
      </c>
      <c r="B1507" s="3" t="s">
        <v>428</v>
      </c>
      <c r="C1507" s="3" t="str">
        <f>"王亮亮"</f>
        <v>王亮亮</v>
      </c>
      <c r="D1507" s="3" t="s">
        <v>1422</v>
      </c>
    </row>
    <row r="1508" spans="1:4" ht="24.75" customHeight="1">
      <c r="A1508" s="3" t="str">
        <f>"34892021110510515244809"</f>
        <v>34892021110510515244809</v>
      </c>
      <c r="B1508" s="3" t="s">
        <v>428</v>
      </c>
      <c r="C1508" s="3" t="str">
        <f>"陈珏葶"</f>
        <v>陈珏葶</v>
      </c>
      <c r="D1508" s="3" t="s">
        <v>965</v>
      </c>
    </row>
    <row r="1509" spans="1:4" ht="24.75" customHeight="1">
      <c r="A1509" s="3" t="str">
        <f>"34892021110510535444820"</f>
        <v>34892021110510535444820</v>
      </c>
      <c r="B1509" s="3" t="s">
        <v>428</v>
      </c>
      <c r="C1509" s="3" t="str">
        <f>"常思博大"</f>
        <v>常思博大</v>
      </c>
      <c r="D1509" s="3" t="s">
        <v>1423</v>
      </c>
    </row>
    <row r="1510" spans="1:4" ht="24.75" customHeight="1">
      <c r="A1510" s="3" t="str">
        <f>"34892021110510592444831"</f>
        <v>34892021110510592444831</v>
      </c>
      <c r="B1510" s="3" t="s">
        <v>428</v>
      </c>
      <c r="C1510" s="3" t="str">
        <f>"牛红红"</f>
        <v>牛红红</v>
      </c>
      <c r="D1510" s="3" t="s">
        <v>1424</v>
      </c>
    </row>
    <row r="1511" spans="1:4" ht="24.75" customHeight="1">
      <c r="A1511" s="3" t="str">
        <f>"34892021110511032044839"</f>
        <v>34892021110511032044839</v>
      </c>
      <c r="B1511" s="3" t="s">
        <v>428</v>
      </c>
      <c r="C1511" s="3" t="str">
        <f>"黄春元"</f>
        <v>黄春元</v>
      </c>
      <c r="D1511" s="3" t="s">
        <v>1425</v>
      </c>
    </row>
    <row r="1512" spans="1:4" ht="24.75" customHeight="1">
      <c r="A1512" s="3" t="str">
        <f>"34892021110511090744855"</f>
        <v>34892021110511090744855</v>
      </c>
      <c r="B1512" s="3" t="s">
        <v>428</v>
      </c>
      <c r="C1512" s="3" t="str">
        <f>"杜坤斌"</f>
        <v>杜坤斌</v>
      </c>
      <c r="D1512" s="3" t="s">
        <v>1426</v>
      </c>
    </row>
    <row r="1513" spans="1:4" ht="24.75" customHeight="1">
      <c r="A1513" s="3" t="str">
        <f>"34892021110511121344864"</f>
        <v>34892021110511121344864</v>
      </c>
      <c r="B1513" s="3" t="s">
        <v>428</v>
      </c>
      <c r="C1513" s="3" t="str">
        <f>"黄玉娟"</f>
        <v>黄玉娟</v>
      </c>
      <c r="D1513" s="3" t="s">
        <v>1427</v>
      </c>
    </row>
    <row r="1514" spans="1:4" ht="24.75" customHeight="1">
      <c r="A1514" s="3" t="str">
        <f>"34892021110511122944865"</f>
        <v>34892021110511122944865</v>
      </c>
      <c r="B1514" s="3" t="s">
        <v>428</v>
      </c>
      <c r="C1514" s="3" t="str">
        <f>"郭玉丹"</f>
        <v>郭玉丹</v>
      </c>
      <c r="D1514" s="3" t="s">
        <v>1428</v>
      </c>
    </row>
    <row r="1515" spans="1:4" ht="24.75" customHeight="1">
      <c r="A1515" s="3" t="str">
        <f>"34892021110511143844871"</f>
        <v>34892021110511143844871</v>
      </c>
      <c r="B1515" s="3" t="s">
        <v>428</v>
      </c>
      <c r="C1515" s="3" t="str">
        <f>"黄清 芳"</f>
        <v>黄清 芳</v>
      </c>
      <c r="D1515" s="3" t="s">
        <v>1429</v>
      </c>
    </row>
    <row r="1516" spans="1:4" ht="24.75" customHeight="1">
      <c r="A1516" s="3" t="str">
        <f>"34892021110511150544872"</f>
        <v>34892021110511150544872</v>
      </c>
      <c r="B1516" s="3" t="s">
        <v>428</v>
      </c>
      <c r="C1516" s="3" t="str">
        <f>"王芳雪"</f>
        <v>王芳雪</v>
      </c>
      <c r="D1516" s="3" t="s">
        <v>1430</v>
      </c>
    </row>
    <row r="1517" spans="1:4" ht="24.75" customHeight="1">
      <c r="A1517" s="3" t="str">
        <f>"34892021110511151944874"</f>
        <v>34892021110511151944874</v>
      </c>
      <c r="B1517" s="3" t="s">
        <v>428</v>
      </c>
      <c r="C1517" s="3" t="str">
        <f>"云晓蕾"</f>
        <v>云晓蕾</v>
      </c>
      <c r="D1517" s="3" t="s">
        <v>1431</v>
      </c>
    </row>
    <row r="1518" spans="1:4" ht="24.75" customHeight="1">
      <c r="A1518" s="3" t="str">
        <f>"34892021110511154544875"</f>
        <v>34892021110511154544875</v>
      </c>
      <c r="B1518" s="3" t="s">
        <v>428</v>
      </c>
      <c r="C1518" s="3" t="str">
        <f>"吴对凤"</f>
        <v>吴对凤</v>
      </c>
      <c r="D1518" s="3" t="s">
        <v>1432</v>
      </c>
    </row>
    <row r="1519" spans="1:4" ht="24.75" customHeight="1">
      <c r="A1519" s="3" t="str">
        <f>"34892021110511173444883"</f>
        <v>34892021110511173444883</v>
      </c>
      <c r="B1519" s="3" t="s">
        <v>428</v>
      </c>
      <c r="C1519" s="3" t="str">
        <f>"梁英花"</f>
        <v>梁英花</v>
      </c>
      <c r="D1519" s="3" t="s">
        <v>1433</v>
      </c>
    </row>
    <row r="1520" spans="1:4" ht="24.75" customHeight="1">
      <c r="A1520" s="3" t="str">
        <f>"34892021110511232944895"</f>
        <v>34892021110511232944895</v>
      </c>
      <c r="B1520" s="3" t="s">
        <v>428</v>
      </c>
      <c r="C1520" s="3" t="str">
        <f>"陈期虹"</f>
        <v>陈期虹</v>
      </c>
      <c r="D1520" s="3" t="s">
        <v>1434</v>
      </c>
    </row>
    <row r="1521" spans="1:4" ht="24.75" customHeight="1">
      <c r="A1521" s="3" t="str">
        <f>"34892021110511240044898"</f>
        <v>34892021110511240044898</v>
      </c>
      <c r="B1521" s="3" t="s">
        <v>428</v>
      </c>
      <c r="C1521" s="3" t="str">
        <f>"潘家利"</f>
        <v>潘家利</v>
      </c>
      <c r="D1521" s="3" t="s">
        <v>221</v>
      </c>
    </row>
    <row r="1522" spans="1:4" ht="24.75" customHeight="1">
      <c r="A1522" s="3" t="str">
        <f>"34892021110511240744899"</f>
        <v>34892021110511240744899</v>
      </c>
      <c r="B1522" s="3" t="s">
        <v>428</v>
      </c>
      <c r="C1522" s="3" t="str">
        <f>"邹明书"</f>
        <v>邹明书</v>
      </c>
      <c r="D1522" s="3" t="s">
        <v>1435</v>
      </c>
    </row>
    <row r="1523" spans="1:4" ht="24.75" customHeight="1">
      <c r="A1523" s="3" t="str">
        <f>"34892021110511243344900"</f>
        <v>34892021110511243344900</v>
      </c>
      <c r="B1523" s="3" t="s">
        <v>428</v>
      </c>
      <c r="C1523" s="3" t="str">
        <f>"许卓翼"</f>
        <v>许卓翼</v>
      </c>
      <c r="D1523" s="3" t="s">
        <v>1436</v>
      </c>
    </row>
    <row r="1524" spans="1:4" ht="24.75" customHeight="1">
      <c r="A1524" s="3" t="str">
        <f>"34892021110511252244905"</f>
        <v>34892021110511252244905</v>
      </c>
      <c r="B1524" s="3" t="s">
        <v>428</v>
      </c>
      <c r="C1524" s="3" t="str">
        <f>"刘彩媚"</f>
        <v>刘彩媚</v>
      </c>
      <c r="D1524" s="3" t="s">
        <v>1437</v>
      </c>
    </row>
    <row r="1525" spans="1:4" ht="24.75" customHeight="1">
      <c r="A1525" s="3" t="str">
        <f>"34892021110511285844911"</f>
        <v>34892021110511285844911</v>
      </c>
      <c r="B1525" s="3" t="s">
        <v>428</v>
      </c>
      <c r="C1525" s="3" t="str">
        <f>"李贤代"</f>
        <v>李贤代</v>
      </c>
      <c r="D1525" s="3" t="s">
        <v>1438</v>
      </c>
    </row>
    <row r="1526" spans="1:4" ht="24.75" customHeight="1">
      <c r="A1526" s="3" t="str">
        <f>"34892021110511324244923"</f>
        <v>34892021110511324244923</v>
      </c>
      <c r="B1526" s="3" t="s">
        <v>428</v>
      </c>
      <c r="C1526" s="3" t="str">
        <f>"白冬雪"</f>
        <v>白冬雪</v>
      </c>
      <c r="D1526" s="3" t="s">
        <v>1439</v>
      </c>
    </row>
    <row r="1527" spans="1:4" ht="24.75" customHeight="1">
      <c r="A1527" s="3" t="str">
        <f>"34892021110511370244929"</f>
        <v>34892021110511370244929</v>
      </c>
      <c r="B1527" s="3" t="s">
        <v>428</v>
      </c>
      <c r="C1527" s="3" t="str">
        <f>"李达任"</f>
        <v>李达任</v>
      </c>
      <c r="D1527" s="3" t="s">
        <v>523</v>
      </c>
    </row>
    <row r="1528" spans="1:4" ht="24.75" customHeight="1">
      <c r="A1528" s="3" t="str">
        <f>"34892021110511381444933"</f>
        <v>34892021110511381444933</v>
      </c>
      <c r="B1528" s="3" t="s">
        <v>428</v>
      </c>
      <c r="C1528" s="3" t="str">
        <f>"蔡泽朋"</f>
        <v>蔡泽朋</v>
      </c>
      <c r="D1528" s="3" t="s">
        <v>1440</v>
      </c>
    </row>
    <row r="1529" spans="1:4" ht="24.75" customHeight="1">
      <c r="A1529" s="3" t="str">
        <f>"34892021110511462944951"</f>
        <v>34892021110511462944951</v>
      </c>
      <c r="B1529" s="3" t="s">
        <v>428</v>
      </c>
      <c r="C1529" s="3" t="str">
        <f>"孙才德"</f>
        <v>孙才德</v>
      </c>
      <c r="D1529" s="3" t="s">
        <v>1441</v>
      </c>
    </row>
    <row r="1530" spans="1:4" ht="24.75" customHeight="1">
      <c r="A1530" s="3" t="str">
        <f>"34892021110511503644963"</f>
        <v>34892021110511503644963</v>
      </c>
      <c r="B1530" s="3" t="s">
        <v>428</v>
      </c>
      <c r="C1530" s="3" t="str">
        <f>"林晶晶"</f>
        <v>林晶晶</v>
      </c>
      <c r="D1530" s="3" t="s">
        <v>1442</v>
      </c>
    </row>
    <row r="1531" spans="1:4" ht="24.75" customHeight="1">
      <c r="A1531" s="3" t="str">
        <f>"34892021110511520344970"</f>
        <v>34892021110511520344970</v>
      </c>
      <c r="B1531" s="3" t="s">
        <v>428</v>
      </c>
      <c r="C1531" s="3" t="str">
        <f>"郑玉娇"</f>
        <v>郑玉娇</v>
      </c>
      <c r="D1531" s="3" t="s">
        <v>1443</v>
      </c>
    </row>
    <row r="1532" spans="1:4" ht="24.75" customHeight="1">
      <c r="A1532" s="3" t="str">
        <f>"34892021110511522044971"</f>
        <v>34892021110511522044971</v>
      </c>
      <c r="B1532" s="3" t="s">
        <v>428</v>
      </c>
      <c r="C1532" s="3" t="str">
        <f>"庞羽"</f>
        <v>庞羽</v>
      </c>
      <c r="D1532" s="3" t="s">
        <v>117</v>
      </c>
    </row>
    <row r="1533" spans="1:4" ht="24.75" customHeight="1">
      <c r="A1533" s="3" t="str">
        <f>"34892021110511590844988"</f>
        <v>34892021110511590844988</v>
      </c>
      <c r="B1533" s="3" t="s">
        <v>428</v>
      </c>
      <c r="C1533" s="3" t="str">
        <f>"羊冠作"</f>
        <v>羊冠作</v>
      </c>
      <c r="D1533" s="3" t="s">
        <v>1444</v>
      </c>
    </row>
    <row r="1534" spans="1:4" ht="24.75" customHeight="1">
      <c r="A1534" s="3" t="str">
        <f>"34892021110512014244993"</f>
        <v>34892021110512014244993</v>
      </c>
      <c r="B1534" s="3" t="s">
        <v>428</v>
      </c>
      <c r="C1534" s="3" t="str">
        <f>"冯露"</f>
        <v>冯露</v>
      </c>
      <c r="D1534" s="3" t="s">
        <v>1445</v>
      </c>
    </row>
    <row r="1535" spans="1:4" ht="24.75" customHeight="1">
      <c r="A1535" s="3" t="str">
        <f>"34892021110512093145003"</f>
        <v>34892021110512093145003</v>
      </c>
      <c r="B1535" s="3" t="s">
        <v>428</v>
      </c>
      <c r="C1535" s="3" t="str">
        <f>"吴欣仪"</f>
        <v>吴欣仪</v>
      </c>
      <c r="D1535" s="3" t="s">
        <v>1446</v>
      </c>
    </row>
    <row r="1536" spans="1:4" ht="24.75" customHeight="1">
      <c r="A1536" s="3" t="str">
        <f>"34892021110512183445019"</f>
        <v>34892021110512183445019</v>
      </c>
      <c r="B1536" s="3" t="s">
        <v>428</v>
      </c>
      <c r="C1536" s="3" t="str">
        <f>"王世山"</f>
        <v>王世山</v>
      </c>
      <c r="D1536" s="3" t="s">
        <v>1447</v>
      </c>
    </row>
    <row r="1537" spans="1:4" ht="24.75" customHeight="1">
      <c r="A1537" s="3" t="str">
        <f>"34892021110512194545021"</f>
        <v>34892021110512194545021</v>
      </c>
      <c r="B1537" s="3" t="s">
        <v>428</v>
      </c>
      <c r="C1537" s="3" t="str">
        <f>"黄净琪"</f>
        <v>黄净琪</v>
      </c>
      <c r="D1537" s="3" t="s">
        <v>1448</v>
      </c>
    </row>
    <row r="1538" spans="1:4" ht="24.75" customHeight="1">
      <c r="A1538" s="3" t="str">
        <f>"34892021110512270545028"</f>
        <v>34892021110512270545028</v>
      </c>
      <c r="B1538" s="3" t="s">
        <v>428</v>
      </c>
      <c r="C1538" s="3" t="str">
        <f>"周帮安"</f>
        <v>周帮安</v>
      </c>
      <c r="D1538" s="3" t="s">
        <v>1449</v>
      </c>
    </row>
    <row r="1539" spans="1:4" ht="24.75" customHeight="1">
      <c r="A1539" s="3" t="str">
        <f>"34892021110512312645040"</f>
        <v>34892021110512312645040</v>
      </c>
      <c r="B1539" s="3" t="s">
        <v>428</v>
      </c>
      <c r="C1539" s="3" t="str">
        <f>"姜璐"</f>
        <v>姜璐</v>
      </c>
      <c r="D1539" s="3" t="s">
        <v>1425</v>
      </c>
    </row>
    <row r="1540" spans="1:4" ht="24.75" customHeight="1">
      <c r="A1540" s="3" t="str">
        <f>"34892021110512353645047"</f>
        <v>34892021110512353645047</v>
      </c>
      <c r="B1540" s="3" t="s">
        <v>428</v>
      </c>
      <c r="C1540" s="3" t="str">
        <f>"林姿余"</f>
        <v>林姿余</v>
      </c>
      <c r="D1540" s="3" t="s">
        <v>1450</v>
      </c>
    </row>
    <row r="1541" spans="1:4" ht="24.75" customHeight="1">
      <c r="A1541" s="3" t="str">
        <f>"34892021110512405545052"</f>
        <v>34892021110512405545052</v>
      </c>
      <c r="B1541" s="3" t="s">
        <v>428</v>
      </c>
      <c r="C1541" s="3" t="str">
        <f>"袁丽玲"</f>
        <v>袁丽玲</v>
      </c>
      <c r="D1541" s="3" t="s">
        <v>1451</v>
      </c>
    </row>
    <row r="1542" spans="1:4" ht="24.75" customHeight="1">
      <c r="A1542" s="3" t="str">
        <f>"34892021110512461545064"</f>
        <v>34892021110512461545064</v>
      </c>
      <c r="B1542" s="3" t="s">
        <v>428</v>
      </c>
      <c r="C1542" s="3" t="str">
        <f>"袁祖凡"</f>
        <v>袁祖凡</v>
      </c>
      <c r="D1542" s="3" t="s">
        <v>1452</v>
      </c>
    </row>
    <row r="1543" spans="1:4" ht="24.75" customHeight="1">
      <c r="A1543" s="3" t="str">
        <f>"34892021110512523245081"</f>
        <v>34892021110512523245081</v>
      </c>
      <c r="B1543" s="3" t="s">
        <v>428</v>
      </c>
      <c r="C1543" s="3" t="str">
        <f>"林孟双"</f>
        <v>林孟双</v>
      </c>
      <c r="D1543" s="3" t="s">
        <v>1453</v>
      </c>
    </row>
    <row r="1544" spans="1:4" ht="24.75" customHeight="1">
      <c r="A1544" s="3" t="str">
        <f>"34892021110512565345093"</f>
        <v>34892021110512565345093</v>
      </c>
      <c r="B1544" s="3" t="s">
        <v>428</v>
      </c>
      <c r="C1544" s="3" t="str">
        <f>"王期慧"</f>
        <v>王期慧</v>
      </c>
      <c r="D1544" s="3" t="s">
        <v>1454</v>
      </c>
    </row>
    <row r="1545" spans="1:4" ht="24.75" customHeight="1">
      <c r="A1545" s="3" t="str">
        <f>"34892021110513211845135"</f>
        <v>34892021110513211845135</v>
      </c>
      <c r="B1545" s="3" t="s">
        <v>428</v>
      </c>
      <c r="C1545" s="3" t="str">
        <f>"吉学凯"</f>
        <v>吉学凯</v>
      </c>
      <c r="D1545" s="3" t="s">
        <v>1455</v>
      </c>
    </row>
    <row r="1546" spans="1:4" ht="24.75" customHeight="1">
      <c r="A1546" s="3" t="str">
        <f>"34892021110513251945144"</f>
        <v>34892021110513251945144</v>
      </c>
      <c r="B1546" s="3" t="s">
        <v>428</v>
      </c>
      <c r="C1546" s="3" t="str">
        <f>"张雨歆"</f>
        <v>张雨歆</v>
      </c>
      <c r="D1546" s="3" t="s">
        <v>1456</v>
      </c>
    </row>
    <row r="1547" spans="1:4" ht="24.75" customHeight="1">
      <c r="A1547" s="3" t="str">
        <f>"34892021110513273345148"</f>
        <v>34892021110513273345148</v>
      </c>
      <c r="B1547" s="3" t="s">
        <v>428</v>
      </c>
      <c r="C1547" s="3" t="str">
        <f>"梁正育"</f>
        <v>梁正育</v>
      </c>
      <c r="D1547" s="3" t="s">
        <v>1457</v>
      </c>
    </row>
    <row r="1548" spans="1:4" ht="24.75" customHeight="1">
      <c r="A1548" s="3" t="str">
        <f>"34892021110513274345150"</f>
        <v>34892021110513274345150</v>
      </c>
      <c r="B1548" s="3" t="s">
        <v>428</v>
      </c>
      <c r="C1548" s="3" t="str">
        <f>"羊小玲"</f>
        <v>羊小玲</v>
      </c>
      <c r="D1548" s="3" t="s">
        <v>1458</v>
      </c>
    </row>
    <row r="1549" spans="1:4" ht="24.75" customHeight="1">
      <c r="A1549" s="3" t="str">
        <f>"34892021110513370345162"</f>
        <v>34892021110513370345162</v>
      </c>
      <c r="B1549" s="3" t="s">
        <v>428</v>
      </c>
      <c r="C1549" s="3" t="str">
        <f>"李秀玲"</f>
        <v>李秀玲</v>
      </c>
      <c r="D1549" s="3" t="s">
        <v>1459</v>
      </c>
    </row>
    <row r="1550" spans="1:4" ht="24.75" customHeight="1">
      <c r="A1550" s="3" t="str">
        <f>"34892021110513404445172"</f>
        <v>34892021110513404445172</v>
      </c>
      <c r="B1550" s="3" t="s">
        <v>428</v>
      </c>
      <c r="C1550" s="3" t="str">
        <f>"黎正雄"</f>
        <v>黎正雄</v>
      </c>
      <c r="D1550" s="3" t="s">
        <v>1460</v>
      </c>
    </row>
    <row r="1551" spans="1:4" ht="24.75" customHeight="1">
      <c r="A1551" s="3" t="str">
        <f>"34892021110513431145175"</f>
        <v>34892021110513431145175</v>
      </c>
      <c r="B1551" s="3" t="s">
        <v>428</v>
      </c>
      <c r="C1551" s="3" t="str">
        <f>"汪诗雅"</f>
        <v>汪诗雅</v>
      </c>
      <c r="D1551" s="3" t="s">
        <v>1461</v>
      </c>
    </row>
    <row r="1552" spans="1:4" ht="24.75" customHeight="1">
      <c r="A1552" s="3" t="str">
        <f>"34892021110513483145184"</f>
        <v>34892021110513483145184</v>
      </c>
      <c r="B1552" s="3" t="s">
        <v>428</v>
      </c>
      <c r="C1552" s="3" t="str">
        <f>"颜渝圣"</f>
        <v>颜渝圣</v>
      </c>
      <c r="D1552" s="3" t="s">
        <v>1462</v>
      </c>
    </row>
    <row r="1553" spans="1:4" ht="24.75" customHeight="1">
      <c r="A1553" s="3" t="str">
        <f>"34892021110513551545195"</f>
        <v>34892021110513551545195</v>
      </c>
      <c r="B1553" s="3" t="s">
        <v>428</v>
      </c>
      <c r="C1553" s="3" t="str">
        <f>"刘伟锋"</f>
        <v>刘伟锋</v>
      </c>
      <c r="D1553" s="3" t="s">
        <v>1463</v>
      </c>
    </row>
    <row r="1554" spans="1:4" ht="24.75" customHeight="1">
      <c r="A1554" s="3" t="str">
        <f>"34892021110514030745207"</f>
        <v>34892021110514030745207</v>
      </c>
      <c r="B1554" s="3" t="s">
        <v>428</v>
      </c>
      <c r="C1554" s="3" t="str">
        <f>"王军风"</f>
        <v>王军风</v>
      </c>
      <c r="D1554" s="3" t="s">
        <v>1464</v>
      </c>
    </row>
    <row r="1555" spans="1:4" ht="24.75" customHeight="1">
      <c r="A1555" s="3" t="str">
        <f>"34892021110514242845239"</f>
        <v>34892021110514242845239</v>
      </c>
      <c r="B1555" s="3" t="s">
        <v>428</v>
      </c>
      <c r="C1555" s="3" t="str">
        <f>"李桂盈"</f>
        <v>李桂盈</v>
      </c>
      <c r="D1555" s="3" t="s">
        <v>1465</v>
      </c>
    </row>
    <row r="1556" spans="1:4" ht="24.75" customHeight="1">
      <c r="A1556" s="3" t="str">
        <f>"34892021110514323145254"</f>
        <v>34892021110514323145254</v>
      </c>
      <c r="B1556" s="3" t="s">
        <v>428</v>
      </c>
      <c r="C1556" s="3" t="str">
        <f>"张昌开"</f>
        <v>张昌开</v>
      </c>
      <c r="D1556" s="3" t="s">
        <v>1466</v>
      </c>
    </row>
    <row r="1557" spans="1:4" ht="24.75" customHeight="1">
      <c r="A1557" s="3" t="str">
        <f>"34892021110514382745264"</f>
        <v>34892021110514382745264</v>
      </c>
      <c r="B1557" s="3" t="s">
        <v>428</v>
      </c>
      <c r="C1557" s="3" t="str">
        <f>"刘容丽"</f>
        <v>刘容丽</v>
      </c>
      <c r="D1557" s="3" t="s">
        <v>1467</v>
      </c>
    </row>
    <row r="1558" spans="1:4" ht="24.75" customHeight="1">
      <c r="A1558" s="3" t="str">
        <f>"34892021110514420445278"</f>
        <v>34892021110514420445278</v>
      </c>
      <c r="B1558" s="3" t="s">
        <v>428</v>
      </c>
      <c r="C1558" s="3" t="str">
        <f>"郑秋菊"</f>
        <v>郑秋菊</v>
      </c>
      <c r="D1558" s="3" t="s">
        <v>1468</v>
      </c>
    </row>
    <row r="1559" spans="1:4" ht="24.75" customHeight="1">
      <c r="A1559" s="3" t="str">
        <f>"34892021110514432645281"</f>
        <v>34892021110514432645281</v>
      </c>
      <c r="B1559" s="3" t="s">
        <v>428</v>
      </c>
      <c r="C1559" s="3" t="str">
        <f>"黄卫立"</f>
        <v>黄卫立</v>
      </c>
      <c r="D1559" s="3" t="s">
        <v>1469</v>
      </c>
    </row>
    <row r="1560" spans="1:4" ht="24.75" customHeight="1">
      <c r="A1560" s="3" t="str">
        <f>"34892021110514445645283"</f>
        <v>34892021110514445645283</v>
      </c>
      <c r="B1560" s="3" t="s">
        <v>428</v>
      </c>
      <c r="C1560" s="3" t="str">
        <f>"吴斌"</f>
        <v>吴斌</v>
      </c>
      <c r="D1560" s="3" t="s">
        <v>1470</v>
      </c>
    </row>
    <row r="1561" spans="1:4" ht="24.75" customHeight="1">
      <c r="A1561" s="3" t="str">
        <f>"34892021110514483945292"</f>
        <v>34892021110514483945292</v>
      </c>
      <c r="B1561" s="3" t="s">
        <v>428</v>
      </c>
      <c r="C1561" s="3" t="str">
        <f>"刘晗悦"</f>
        <v>刘晗悦</v>
      </c>
      <c r="D1561" s="3" t="s">
        <v>1471</v>
      </c>
    </row>
    <row r="1562" spans="1:4" ht="24.75" customHeight="1">
      <c r="A1562" s="3" t="str">
        <f>"34892021110514514245304"</f>
        <v>34892021110514514245304</v>
      </c>
      <c r="B1562" s="3" t="s">
        <v>428</v>
      </c>
      <c r="C1562" s="3" t="str">
        <f>"莫光萍"</f>
        <v>莫光萍</v>
      </c>
      <c r="D1562" s="3" t="s">
        <v>1472</v>
      </c>
    </row>
    <row r="1563" spans="1:4" ht="24.75" customHeight="1">
      <c r="A1563" s="3" t="str">
        <f>"34892021110514522445307"</f>
        <v>34892021110514522445307</v>
      </c>
      <c r="B1563" s="3" t="s">
        <v>428</v>
      </c>
      <c r="C1563" s="3" t="str">
        <f>"蔡浪"</f>
        <v>蔡浪</v>
      </c>
      <c r="D1563" s="3" t="s">
        <v>1473</v>
      </c>
    </row>
    <row r="1564" spans="1:4" ht="24.75" customHeight="1">
      <c r="A1564" s="3" t="str">
        <f>"34892021110514561945316"</f>
        <v>34892021110514561945316</v>
      </c>
      <c r="B1564" s="3" t="s">
        <v>428</v>
      </c>
      <c r="C1564" s="3" t="str">
        <f>"曾燕妮"</f>
        <v>曾燕妮</v>
      </c>
      <c r="D1564" s="3" t="s">
        <v>1474</v>
      </c>
    </row>
    <row r="1565" spans="1:4" ht="24.75" customHeight="1">
      <c r="A1565" s="3" t="str">
        <f>"34892021110514570345318"</f>
        <v>34892021110514570345318</v>
      </c>
      <c r="B1565" s="3" t="s">
        <v>428</v>
      </c>
      <c r="C1565" s="3" t="str">
        <f>"王词林"</f>
        <v>王词林</v>
      </c>
      <c r="D1565" s="3" t="s">
        <v>1475</v>
      </c>
    </row>
    <row r="1566" spans="1:4" ht="24.75" customHeight="1">
      <c r="A1566" s="3" t="str">
        <f>"34892021110514580945319"</f>
        <v>34892021110514580945319</v>
      </c>
      <c r="B1566" s="3" t="s">
        <v>428</v>
      </c>
      <c r="C1566" s="3" t="str">
        <f>"李康"</f>
        <v>李康</v>
      </c>
      <c r="D1566" s="3" t="s">
        <v>1476</v>
      </c>
    </row>
    <row r="1567" spans="1:4" ht="24.75" customHeight="1">
      <c r="A1567" s="3" t="str">
        <f>"34892021110515034245332"</f>
        <v>34892021110515034245332</v>
      </c>
      <c r="B1567" s="3" t="s">
        <v>428</v>
      </c>
      <c r="C1567" s="3" t="str">
        <f>"王云丽"</f>
        <v>王云丽</v>
      </c>
      <c r="D1567" s="3" t="s">
        <v>1477</v>
      </c>
    </row>
    <row r="1568" spans="1:4" ht="24.75" customHeight="1">
      <c r="A1568" s="3" t="str">
        <f>"34892021110515045545338"</f>
        <v>34892021110515045545338</v>
      </c>
      <c r="B1568" s="3" t="s">
        <v>428</v>
      </c>
      <c r="C1568" s="3" t="str">
        <f>"吴玉莲"</f>
        <v>吴玉莲</v>
      </c>
      <c r="D1568" s="3" t="s">
        <v>1478</v>
      </c>
    </row>
    <row r="1569" spans="1:4" ht="24.75" customHeight="1">
      <c r="A1569" s="3" t="str">
        <f>"34892021110515054245341"</f>
        <v>34892021110515054245341</v>
      </c>
      <c r="B1569" s="3" t="s">
        <v>428</v>
      </c>
      <c r="C1569" s="3" t="str">
        <f>"孙玲芝"</f>
        <v>孙玲芝</v>
      </c>
      <c r="D1569" s="3" t="s">
        <v>1479</v>
      </c>
    </row>
    <row r="1570" spans="1:4" ht="24.75" customHeight="1">
      <c r="A1570" s="3" t="str">
        <f>"34892021110515094745351"</f>
        <v>34892021110515094745351</v>
      </c>
      <c r="B1570" s="3" t="s">
        <v>428</v>
      </c>
      <c r="C1570" s="3" t="str">
        <f>"罗丹"</f>
        <v>罗丹</v>
      </c>
      <c r="D1570" s="3" t="s">
        <v>1480</v>
      </c>
    </row>
    <row r="1571" spans="1:4" ht="24.75" customHeight="1">
      <c r="A1571" s="3" t="str">
        <f>"34892021110515120345359"</f>
        <v>34892021110515120345359</v>
      </c>
      <c r="B1571" s="3" t="s">
        <v>428</v>
      </c>
      <c r="C1571" s="3" t="str">
        <f>"邹灵灵"</f>
        <v>邹灵灵</v>
      </c>
      <c r="D1571" s="3" t="s">
        <v>1481</v>
      </c>
    </row>
    <row r="1572" spans="1:4" ht="24.75" customHeight="1">
      <c r="A1572" s="3" t="str">
        <f>"34892021110515130245363"</f>
        <v>34892021110515130245363</v>
      </c>
      <c r="B1572" s="3" t="s">
        <v>428</v>
      </c>
      <c r="C1572" s="3" t="str">
        <f>"潘沉"</f>
        <v>潘沉</v>
      </c>
      <c r="D1572" s="3" t="s">
        <v>1482</v>
      </c>
    </row>
    <row r="1573" spans="1:4" ht="24.75" customHeight="1">
      <c r="A1573" s="3" t="str">
        <f>"34892021110515165145378"</f>
        <v>34892021110515165145378</v>
      </c>
      <c r="B1573" s="3" t="s">
        <v>428</v>
      </c>
      <c r="C1573" s="3" t="str">
        <f>"王焕彩"</f>
        <v>王焕彩</v>
      </c>
      <c r="D1573" s="3" t="s">
        <v>1483</v>
      </c>
    </row>
    <row r="1574" spans="1:4" ht="24.75" customHeight="1">
      <c r="A1574" s="3" t="str">
        <f>"34892021110515165245379"</f>
        <v>34892021110515165245379</v>
      </c>
      <c r="B1574" s="3" t="s">
        <v>428</v>
      </c>
      <c r="C1574" s="3" t="str">
        <f>"李惠兰"</f>
        <v>李惠兰</v>
      </c>
      <c r="D1574" s="3" t="s">
        <v>1484</v>
      </c>
    </row>
    <row r="1575" spans="1:4" ht="24.75" customHeight="1">
      <c r="A1575" s="3" t="str">
        <f>"34892021110515173545382"</f>
        <v>34892021110515173545382</v>
      </c>
      <c r="B1575" s="3" t="s">
        <v>428</v>
      </c>
      <c r="C1575" s="3" t="str">
        <f>"王泰然"</f>
        <v>王泰然</v>
      </c>
      <c r="D1575" s="3" t="s">
        <v>1485</v>
      </c>
    </row>
    <row r="1576" spans="1:4" ht="24.75" customHeight="1">
      <c r="A1576" s="3" t="str">
        <f>"34892021110515190645388"</f>
        <v>34892021110515190645388</v>
      </c>
      <c r="B1576" s="3" t="s">
        <v>428</v>
      </c>
      <c r="C1576" s="3" t="str">
        <f>"蔡兴琦"</f>
        <v>蔡兴琦</v>
      </c>
      <c r="D1576" s="3" t="s">
        <v>1486</v>
      </c>
    </row>
    <row r="1577" spans="1:4" ht="24.75" customHeight="1">
      <c r="A1577" s="3" t="str">
        <f>"34892021110515212945395"</f>
        <v>34892021110515212945395</v>
      </c>
      <c r="B1577" s="3" t="s">
        <v>428</v>
      </c>
      <c r="C1577" s="3" t="str">
        <f>"吴清林"</f>
        <v>吴清林</v>
      </c>
      <c r="D1577" s="3" t="s">
        <v>1487</v>
      </c>
    </row>
    <row r="1578" spans="1:4" ht="24.75" customHeight="1">
      <c r="A1578" s="3" t="str">
        <f>"34892021110515215145397"</f>
        <v>34892021110515215145397</v>
      </c>
      <c r="B1578" s="3" t="s">
        <v>428</v>
      </c>
      <c r="C1578" s="3" t="str">
        <f>"李媛媛"</f>
        <v>李媛媛</v>
      </c>
      <c r="D1578" s="3" t="s">
        <v>1488</v>
      </c>
    </row>
    <row r="1579" spans="1:4" ht="24.75" customHeight="1">
      <c r="A1579" s="3" t="str">
        <f>"34892021110515231645406"</f>
        <v>34892021110515231645406</v>
      </c>
      <c r="B1579" s="3" t="s">
        <v>428</v>
      </c>
      <c r="C1579" s="3" t="str">
        <f>"邢诒美"</f>
        <v>邢诒美</v>
      </c>
      <c r="D1579" s="3" t="s">
        <v>1489</v>
      </c>
    </row>
    <row r="1580" spans="1:4" ht="24.75" customHeight="1">
      <c r="A1580" s="3" t="str">
        <f>"34892021110515235145408"</f>
        <v>34892021110515235145408</v>
      </c>
      <c r="B1580" s="3" t="s">
        <v>428</v>
      </c>
      <c r="C1580" s="3" t="str">
        <f>"吴福桃"</f>
        <v>吴福桃</v>
      </c>
      <c r="D1580" s="3" t="s">
        <v>1490</v>
      </c>
    </row>
    <row r="1581" spans="1:4" ht="24.75" customHeight="1">
      <c r="A1581" s="3" t="str">
        <f>"34892021110515251045413"</f>
        <v>34892021110515251045413</v>
      </c>
      <c r="B1581" s="3" t="s">
        <v>428</v>
      </c>
      <c r="C1581" s="3" t="str">
        <f>"吴多卿"</f>
        <v>吴多卿</v>
      </c>
      <c r="D1581" s="3" t="s">
        <v>1491</v>
      </c>
    </row>
    <row r="1582" spans="1:4" ht="24.75" customHeight="1">
      <c r="A1582" s="3" t="str">
        <f>"34892021110515281445426"</f>
        <v>34892021110515281445426</v>
      </c>
      <c r="B1582" s="3" t="s">
        <v>428</v>
      </c>
      <c r="C1582" s="3" t="str">
        <f>"符大任"</f>
        <v>符大任</v>
      </c>
      <c r="D1582" s="3" t="s">
        <v>1492</v>
      </c>
    </row>
    <row r="1583" spans="1:4" ht="24.75" customHeight="1">
      <c r="A1583" s="3" t="str">
        <f>"34892021110515290145428"</f>
        <v>34892021110515290145428</v>
      </c>
      <c r="B1583" s="3" t="s">
        <v>428</v>
      </c>
      <c r="C1583" s="3" t="str">
        <f>"李道年"</f>
        <v>李道年</v>
      </c>
      <c r="D1583" s="3" t="s">
        <v>1493</v>
      </c>
    </row>
    <row r="1584" spans="1:4" ht="24.75" customHeight="1">
      <c r="A1584" s="3" t="str">
        <f>"34892021110515292845429"</f>
        <v>34892021110515292845429</v>
      </c>
      <c r="B1584" s="3" t="s">
        <v>428</v>
      </c>
      <c r="C1584" s="3" t="str">
        <f>"王凌"</f>
        <v>王凌</v>
      </c>
      <c r="D1584" s="3" t="s">
        <v>1494</v>
      </c>
    </row>
    <row r="1585" spans="1:4" ht="24.75" customHeight="1">
      <c r="A1585" s="3" t="str">
        <f>"34892021110515302045432"</f>
        <v>34892021110515302045432</v>
      </c>
      <c r="B1585" s="3" t="s">
        <v>428</v>
      </c>
      <c r="C1585" s="3" t="str">
        <f>"陈焕超"</f>
        <v>陈焕超</v>
      </c>
      <c r="D1585" s="3" t="s">
        <v>1495</v>
      </c>
    </row>
    <row r="1586" spans="1:4" ht="24.75" customHeight="1">
      <c r="A1586" s="3" t="str">
        <f>"34892021110515330945441"</f>
        <v>34892021110515330945441</v>
      </c>
      <c r="B1586" s="3" t="s">
        <v>428</v>
      </c>
      <c r="C1586" s="3" t="str">
        <f>"蔡丽菁"</f>
        <v>蔡丽菁</v>
      </c>
      <c r="D1586" s="3" t="s">
        <v>803</v>
      </c>
    </row>
    <row r="1587" spans="1:4" ht="24.75" customHeight="1">
      <c r="A1587" s="3" t="str">
        <f>"34892021110515351745446"</f>
        <v>34892021110515351745446</v>
      </c>
      <c r="B1587" s="3" t="s">
        <v>428</v>
      </c>
      <c r="C1587" s="3" t="str">
        <f>"孙映珠"</f>
        <v>孙映珠</v>
      </c>
      <c r="D1587" s="3" t="s">
        <v>1496</v>
      </c>
    </row>
    <row r="1588" spans="1:4" ht="24.75" customHeight="1">
      <c r="A1588" s="3" t="str">
        <f>"34892021110515370045455"</f>
        <v>34892021110515370045455</v>
      </c>
      <c r="B1588" s="3" t="s">
        <v>428</v>
      </c>
      <c r="C1588" s="3" t="str">
        <f>"王嘉维"</f>
        <v>王嘉维</v>
      </c>
      <c r="D1588" s="3" t="s">
        <v>1497</v>
      </c>
    </row>
    <row r="1589" spans="1:4" ht="24.75" customHeight="1">
      <c r="A1589" s="3" t="str">
        <f>"34892021110515372645461"</f>
        <v>34892021110515372645461</v>
      </c>
      <c r="B1589" s="3" t="s">
        <v>428</v>
      </c>
      <c r="C1589" s="3" t="str">
        <f>"林东初"</f>
        <v>林东初</v>
      </c>
      <c r="D1589" s="3" t="s">
        <v>766</v>
      </c>
    </row>
    <row r="1590" spans="1:4" ht="24.75" customHeight="1">
      <c r="A1590" s="3" t="str">
        <f>"34892021110515423545479"</f>
        <v>34892021110515423545479</v>
      </c>
      <c r="B1590" s="3" t="s">
        <v>428</v>
      </c>
      <c r="C1590" s="3" t="str">
        <f>"王名东"</f>
        <v>王名东</v>
      </c>
      <c r="D1590" s="3" t="s">
        <v>1498</v>
      </c>
    </row>
    <row r="1591" spans="1:4" ht="24.75" customHeight="1">
      <c r="A1591" s="3" t="str">
        <f>"34892021110515442145486"</f>
        <v>34892021110515442145486</v>
      </c>
      <c r="B1591" s="3" t="s">
        <v>428</v>
      </c>
      <c r="C1591" s="3" t="str">
        <f>"王琦"</f>
        <v>王琦</v>
      </c>
      <c r="D1591" s="3" t="s">
        <v>1499</v>
      </c>
    </row>
    <row r="1592" spans="1:4" ht="24.75" customHeight="1">
      <c r="A1592" s="3" t="str">
        <f>"34892021110515472345501"</f>
        <v>34892021110515472345501</v>
      </c>
      <c r="B1592" s="3" t="s">
        <v>428</v>
      </c>
      <c r="C1592" s="3" t="str">
        <f>"冯桃"</f>
        <v>冯桃</v>
      </c>
      <c r="D1592" s="3" t="s">
        <v>1500</v>
      </c>
    </row>
    <row r="1593" spans="1:4" ht="24.75" customHeight="1">
      <c r="A1593" s="3" t="str">
        <f>"34892021110515500845513"</f>
        <v>34892021110515500845513</v>
      </c>
      <c r="B1593" s="3" t="s">
        <v>428</v>
      </c>
      <c r="C1593" s="3" t="str">
        <f>"陈娟娟"</f>
        <v>陈娟娟</v>
      </c>
      <c r="D1593" s="3" t="s">
        <v>1501</v>
      </c>
    </row>
    <row r="1594" spans="1:4" ht="24.75" customHeight="1">
      <c r="A1594" s="3" t="str">
        <f>"34892021110515520045517"</f>
        <v>34892021110515520045517</v>
      </c>
      <c r="B1594" s="3" t="s">
        <v>428</v>
      </c>
      <c r="C1594" s="3" t="str">
        <f>"王天绪"</f>
        <v>王天绪</v>
      </c>
      <c r="D1594" s="3" t="s">
        <v>1502</v>
      </c>
    </row>
    <row r="1595" spans="1:4" ht="24.75" customHeight="1">
      <c r="A1595" s="3" t="str">
        <f>"34892021110515555545544"</f>
        <v>34892021110515555545544</v>
      </c>
      <c r="B1595" s="3" t="s">
        <v>428</v>
      </c>
      <c r="C1595" s="3" t="str">
        <f>"李坤育"</f>
        <v>李坤育</v>
      </c>
      <c r="D1595" s="3" t="s">
        <v>1503</v>
      </c>
    </row>
    <row r="1596" spans="1:4" ht="24.75" customHeight="1">
      <c r="A1596" s="3" t="str">
        <f>"34892021110516004445557"</f>
        <v>34892021110516004445557</v>
      </c>
      <c r="B1596" s="3" t="s">
        <v>428</v>
      </c>
      <c r="C1596" s="3" t="str">
        <f>"孙崇理"</f>
        <v>孙崇理</v>
      </c>
      <c r="D1596" s="3" t="s">
        <v>1062</v>
      </c>
    </row>
    <row r="1597" spans="1:4" ht="24.75" customHeight="1">
      <c r="A1597" s="3" t="str">
        <f>"34892021110516014445559"</f>
        <v>34892021110516014445559</v>
      </c>
      <c r="B1597" s="3" t="s">
        <v>428</v>
      </c>
      <c r="C1597" s="3" t="str">
        <f>"王宇轩"</f>
        <v>王宇轩</v>
      </c>
      <c r="D1597" s="3" t="s">
        <v>1504</v>
      </c>
    </row>
    <row r="1598" spans="1:4" ht="24.75" customHeight="1">
      <c r="A1598" s="3" t="str">
        <f>"34892021110516025745561"</f>
        <v>34892021110516025745561</v>
      </c>
      <c r="B1598" s="3" t="s">
        <v>428</v>
      </c>
      <c r="C1598" s="3" t="str">
        <f>"王芸"</f>
        <v>王芸</v>
      </c>
      <c r="D1598" s="3" t="s">
        <v>511</v>
      </c>
    </row>
    <row r="1599" spans="1:4" ht="24.75" customHeight="1">
      <c r="A1599" s="3" t="str">
        <f>"34892021110516044545563"</f>
        <v>34892021110516044545563</v>
      </c>
      <c r="B1599" s="3" t="s">
        <v>428</v>
      </c>
      <c r="C1599" s="3" t="str">
        <f>"许文静"</f>
        <v>许文静</v>
      </c>
      <c r="D1599" s="3" t="s">
        <v>1505</v>
      </c>
    </row>
    <row r="1600" spans="1:4" ht="24.75" customHeight="1">
      <c r="A1600" s="3" t="str">
        <f>"34892021110516052845565"</f>
        <v>34892021110516052845565</v>
      </c>
      <c r="B1600" s="3" t="s">
        <v>428</v>
      </c>
      <c r="C1600" s="3" t="str">
        <f>"文红莹"</f>
        <v>文红莹</v>
      </c>
      <c r="D1600" s="3" t="s">
        <v>1506</v>
      </c>
    </row>
    <row r="1601" spans="1:4" ht="24.75" customHeight="1">
      <c r="A1601" s="3" t="str">
        <f>"34892021110516064045570"</f>
        <v>34892021110516064045570</v>
      </c>
      <c r="B1601" s="3" t="s">
        <v>428</v>
      </c>
      <c r="C1601" s="3" t="str">
        <f>"郑冰丽"</f>
        <v>郑冰丽</v>
      </c>
      <c r="D1601" s="3" t="s">
        <v>1507</v>
      </c>
    </row>
    <row r="1602" spans="1:4" ht="24.75" customHeight="1">
      <c r="A1602" s="3" t="str">
        <f>"34892021110516095945577"</f>
        <v>34892021110516095945577</v>
      </c>
      <c r="B1602" s="3" t="s">
        <v>428</v>
      </c>
      <c r="C1602" s="3" t="str">
        <f>"阮映梅"</f>
        <v>阮映梅</v>
      </c>
      <c r="D1602" s="3" t="s">
        <v>1508</v>
      </c>
    </row>
    <row r="1603" spans="1:4" ht="24.75" customHeight="1">
      <c r="A1603" s="3" t="str">
        <f>"34892021110516203245593"</f>
        <v>34892021110516203245593</v>
      </c>
      <c r="B1603" s="3" t="s">
        <v>428</v>
      </c>
      <c r="C1603" s="3" t="str">
        <f>"苏荷蓓"</f>
        <v>苏荷蓓</v>
      </c>
      <c r="D1603" s="3" t="s">
        <v>1509</v>
      </c>
    </row>
    <row r="1604" spans="1:4" ht="24.75" customHeight="1">
      <c r="A1604" s="3" t="str">
        <f>"34892021110516211045595"</f>
        <v>34892021110516211045595</v>
      </c>
      <c r="B1604" s="3" t="s">
        <v>428</v>
      </c>
      <c r="C1604" s="3" t="str">
        <f>"周宇"</f>
        <v>周宇</v>
      </c>
      <c r="D1604" s="3" t="s">
        <v>1510</v>
      </c>
    </row>
    <row r="1605" spans="1:4" ht="24.75" customHeight="1">
      <c r="A1605" s="3" t="str">
        <f>"34892021110516225945596"</f>
        <v>34892021110516225945596</v>
      </c>
      <c r="B1605" s="3" t="s">
        <v>428</v>
      </c>
      <c r="C1605" s="3" t="str">
        <f>"李应笛"</f>
        <v>李应笛</v>
      </c>
      <c r="D1605" s="3" t="s">
        <v>1511</v>
      </c>
    </row>
    <row r="1606" spans="1:4" ht="24.75" customHeight="1">
      <c r="A1606" s="3" t="str">
        <f>"34892021110516250945602"</f>
        <v>34892021110516250945602</v>
      </c>
      <c r="B1606" s="3" t="s">
        <v>428</v>
      </c>
      <c r="C1606" s="3" t="str">
        <f>"熊培艺"</f>
        <v>熊培艺</v>
      </c>
      <c r="D1606" s="3" t="s">
        <v>1512</v>
      </c>
    </row>
    <row r="1607" spans="1:4" ht="24.75" customHeight="1">
      <c r="A1607" s="3" t="str">
        <f>"34892021110516301545606"</f>
        <v>34892021110516301545606</v>
      </c>
      <c r="B1607" s="3" t="s">
        <v>428</v>
      </c>
      <c r="C1607" s="3" t="str">
        <f>"郑银"</f>
        <v>郑银</v>
      </c>
      <c r="D1607" s="3" t="s">
        <v>1513</v>
      </c>
    </row>
    <row r="1608" spans="1:4" ht="24.75" customHeight="1">
      <c r="A1608" s="3" t="str">
        <f>"34892021110516332045611"</f>
        <v>34892021110516332045611</v>
      </c>
      <c r="B1608" s="3" t="s">
        <v>428</v>
      </c>
      <c r="C1608" s="3" t="str">
        <f>"王有伟"</f>
        <v>王有伟</v>
      </c>
      <c r="D1608" s="3" t="s">
        <v>1514</v>
      </c>
    </row>
    <row r="1609" spans="1:4" ht="24.75" customHeight="1">
      <c r="A1609" s="3" t="str">
        <f>"34892021110516340145612"</f>
        <v>34892021110516340145612</v>
      </c>
      <c r="B1609" s="3" t="s">
        <v>428</v>
      </c>
      <c r="C1609" s="3" t="str">
        <f>"李子韬"</f>
        <v>李子韬</v>
      </c>
      <c r="D1609" s="3" t="s">
        <v>1515</v>
      </c>
    </row>
    <row r="1610" spans="1:4" ht="24.75" customHeight="1">
      <c r="A1610" s="3" t="str">
        <f>"34892021110516373045616"</f>
        <v>34892021110516373045616</v>
      </c>
      <c r="B1610" s="3" t="s">
        <v>428</v>
      </c>
      <c r="C1610" s="3" t="str">
        <f>"王发机"</f>
        <v>王发机</v>
      </c>
      <c r="D1610" s="3" t="s">
        <v>1516</v>
      </c>
    </row>
    <row r="1611" spans="1:4" ht="24.75" customHeight="1">
      <c r="A1611" s="3" t="str">
        <f>"34892021110516404545622"</f>
        <v>34892021110516404545622</v>
      </c>
      <c r="B1611" s="3" t="s">
        <v>428</v>
      </c>
      <c r="C1611" s="3" t="str">
        <f>"吴强"</f>
        <v>吴强</v>
      </c>
      <c r="D1611" s="3" t="s">
        <v>1517</v>
      </c>
    </row>
    <row r="1612" spans="1:4" ht="24.75" customHeight="1">
      <c r="A1612" s="3" t="str">
        <f>"34892021110516483645637"</f>
        <v>34892021110516483645637</v>
      </c>
      <c r="B1612" s="3" t="s">
        <v>428</v>
      </c>
      <c r="C1612" s="3" t="str">
        <f>"王佳"</f>
        <v>王佳</v>
      </c>
      <c r="D1612" s="3" t="s">
        <v>1518</v>
      </c>
    </row>
    <row r="1613" spans="1:4" ht="24.75" customHeight="1">
      <c r="A1613" s="3" t="str">
        <f>"34892021110516504345643"</f>
        <v>34892021110516504345643</v>
      </c>
      <c r="B1613" s="3" t="s">
        <v>428</v>
      </c>
      <c r="C1613" s="3" t="str">
        <f>"莫雪妮"</f>
        <v>莫雪妮</v>
      </c>
      <c r="D1613" s="3" t="s">
        <v>1519</v>
      </c>
    </row>
    <row r="1614" spans="1:4" ht="24.75" customHeight="1">
      <c r="A1614" s="3" t="str">
        <f>"34892021110516525545648"</f>
        <v>34892021110516525545648</v>
      </c>
      <c r="B1614" s="3" t="s">
        <v>428</v>
      </c>
      <c r="C1614" s="3" t="str">
        <f>"杨丽云"</f>
        <v>杨丽云</v>
      </c>
      <c r="D1614" s="3" t="s">
        <v>1520</v>
      </c>
    </row>
    <row r="1615" spans="1:4" ht="24.75" customHeight="1">
      <c r="A1615" s="3" t="str">
        <f>"34892021110516532445650"</f>
        <v>34892021110516532445650</v>
      </c>
      <c r="B1615" s="3" t="s">
        <v>428</v>
      </c>
      <c r="C1615" s="3" t="str">
        <f>"羊博升"</f>
        <v>羊博升</v>
      </c>
      <c r="D1615" s="3" t="s">
        <v>449</v>
      </c>
    </row>
    <row r="1616" spans="1:4" ht="24.75" customHeight="1">
      <c r="A1616" s="3" t="str">
        <f>"34892021110516541845655"</f>
        <v>34892021110516541845655</v>
      </c>
      <c r="B1616" s="3" t="s">
        <v>428</v>
      </c>
      <c r="C1616" s="3" t="str">
        <f>"陈光玲"</f>
        <v>陈光玲</v>
      </c>
      <c r="D1616" s="3" t="s">
        <v>1521</v>
      </c>
    </row>
    <row r="1617" spans="1:4" ht="24.75" customHeight="1">
      <c r="A1617" s="3" t="str">
        <f>"34892021110516544045657"</f>
        <v>34892021110516544045657</v>
      </c>
      <c r="B1617" s="3" t="s">
        <v>428</v>
      </c>
      <c r="C1617" s="3" t="str">
        <f>"高云顺"</f>
        <v>高云顺</v>
      </c>
      <c r="D1617" s="3" t="s">
        <v>1522</v>
      </c>
    </row>
    <row r="1618" spans="1:4" ht="24.75" customHeight="1">
      <c r="A1618" s="3" t="str">
        <f>"34892021110516545045658"</f>
        <v>34892021110516545045658</v>
      </c>
      <c r="B1618" s="3" t="s">
        <v>428</v>
      </c>
      <c r="C1618" s="3" t="str">
        <f>"钟俊民"</f>
        <v>钟俊民</v>
      </c>
      <c r="D1618" s="3" t="s">
        <v>1523</v>
      </c>
    </row>
    <row r="1619" spans="1:4" ht="24.75" customHeight="1">
      <c r="A1619" s="3" t="str">
        <f>"34892021110516582745665"</f>
        <v>34892021110516582745665</v>
      </c>
      <c r="B1619" s="3" t="s">
        <v>428</v>
      </c>
      <c r="C1619" s="3" t="str">
        <f>"何玉花"</f>
        <v>何玉花</v>
      </c>
      <c r="D1619" s="3" t="s">
        <v>1524</v>
      </c>
    </row>
    <row r="1620" spans="1:4" ht="24.75" customHeight="1">
      <c r="A1620" s="3" t="str">
        <f>"34892021110517015945673"</f>
        <v>34892021110517015945673</v>
      </c>
      <c r="B1620" s="3" t="s">
        <v>428</v>
      </c>
      <c r="C1620" s="3" t="str">
        <f>"李裕华"</f>
        <v>李裕华</v>
      </c>
      <c r="D1620" s="3" t="s">
        <v>271</v>
      </c>
    </row>
    <row r="1621" spans="1:4" ht="24.75" customHeight="1">
      <c r="A1621" s="3" t="str">
        <f>"34892021110517045245677"</f>
        <v>34892021110517045245677</v>
      </c>
      <c r="B1621" s="3" t="s">
        <v>428</v>
      </c>
      <c r="C1621" s="3" t="str">
        <f>"陈梅兰"</f>
        <v>陈梅兰</v>
      </c>
      <c r="D1621" s="3" t="s">
        <v>1525</v>
      </c>
    </row>
    <row r="1622" spans="1:4" ht="24.75" customHeight="1">
      <c r="A1622" s="3" t="str">
        <f>"34892021110517051245678"</f>
        <v>34892021110517051245678</v>
      </c>
      <c r="B1622" s="3" t="s">
        <v>428</v>
      </c>
      <c r="C1622" s="3" t="str">
        <f>"张琛"</f>
        <v>张琛</v>
      </c>
      <c r="D1622" s="3" t="s">
        <v>1526</v>
      </c>
    </row>
    <row r="1623" spans="1:4" ht="24.75" customHeight="1">
      <c r="A1623" s="3" t="str">
        <f>"34892021110517053245679"</f>
        <v>34892021110517053245679</v>
      </c>
      <c r="B1623" s="3" t="s">
        <v>428</v>
      </c>
      <c r="C1623" s="3" t="str">
        <f>"赵瑞丰"</f>
        <v>赵瑞丰</v>
      </c>
      <c r="D1623" s="3" t="s">
        <v>1527</v>
      </c>
    </row>
    <row r="1624" spans="1:4" ht="24.75" customHeight="1">
      <c r="A1624" s="3" t="str">
        <f>"34892021110517100745684"</f>
        <v>34892021110517100745684</v>
      </c>
      <c r="B1624" s="3" t="s">
        <v>428</v>
      </c>
      <c r="C1624" s="3" t="str">
        <f>"吴启日"</f>
        <v>吴启日</v>
      </c>
      <c r="D1624" s="3" t="s">
        <v>1528</v>
      </c>
    </row>
    <row r="1625" spans="1:4" ht="24.75" customHeight="1">
      <c r="A1625" s="3" t="str">
        <f>"34892021110517115345687"</f>
        <v>34892021110517115345687</v>
      </c>
      <c r="B1625" s="3" t="s">
        <v>428</v>
      </c>
      <c r="C1625" s="3" t="str">
        <f>"符天"</f>
        <v>符天</v>
      </c>
      <c r="D1625" s="3" t="s">
        <v>1529</v>
      </c>
    </row>
    <row r="1626" spans="1:4" ht="24.75" customHeight="1">
      <c r="A1626" s="3" t="str">
        <f>"34892021110517135745691"</f>
        <v>34892021110517135745691</v>
      </c>
      <c r="B1626" s="3" t="s">
        <v>428</v>
      </c>
      <c r="C1626" s="3" t="str">
        <f>"许宇雪"</f>
        <v>许宇雪</v>
      </c>
      <c r="D1626" s="3" t="s">
        <v>1530</v>
      </c>
    </row>
    <row r="1627" spans="1:4" ht="24.75" customHeight="1">
      <c r="A1627" s="3" t="str">
        <f>"34892021110517162645696"</f>
        <v>34892021110517162645696</v>
      </c>
      <c r="B1627" s="3" t="s">
        <v>428</v>
      </c>
      <c r="C1627" s="3" t="str">
        <f>"陈春英"</f>
        <v>陈春英</v>
      </c>
      <c r="D1627" s="3" t="s">
        <v>1531</v>
      </c>
    </row>
    <row r="1628" spans="1:4" ht="24.75" customHeight="1">
      <c r="A1628" s="3" t="str">
        <f>"34892021110517175745698"</f>
        <v>34892021110517175745698</v>
      </c>
      <c r="B1628" s="3" t="s">
        <v>428</v>
      </c>
      <c r="C1628" s="3" t="str">
        <f>"万青"</f>
        <v>万青</v>
      </c>
      <c r="D1628" s="3" t="s">
        <v>1532</v>
      </c>
    </row>
    <row r="1629" spans="1:4" ht="24.75" customHeight="1">
      <c r="A1629" s="3" t="str">
        <f>"34892021110517185445699"</f>
        <v>34892021110517185445699</v>
      </c>
      <c r="B1629" s="3" t="s">
        <v>428</v>
      </c>
      <c r="C1629" s="3" t="str">
        <f>"姜雨婷"</f>
        <v>姜雨婷</v>
      </c>
      <c r="D1629" s="3" t="s">
        <v>1275</v>
      </c>
    </row>
    <row r="1630" spans="1:4" ht="24.75" customHeight="1">
      <c r="A1630" s="3" t="str">
        <f>"34892021110517200245700"</f>
        <v>34892021110517200245700</v>
      </c>
      <c r="B1630" s="3" t="s">
        <v>428</v>
      </c>
      <c r="C1630" s="3" t="str">
        <f>"陈秋萍"</f>
        <v>陈秋萍</v>
      </c>
      <c r="D1630" s="3" t="s">
        <v>1533</v>
      </c>
    </row>
    <row r="1631" spans="1:4" ht="24.75" customHeight="1">
      <c r="A1631" s="3" t="str">
        <f>"34892021110517212345702"</f>
        <v>34892021110517212345702</v>
      </c>
      <c r="B1631" s="3" t="s">
        <v>428</v>
      </c>
      <c r="C1631" s="3" t="str">
        <f>"王小燕"</f>
        <v>王小燕</v>
      </c>
      <c r="D1631" s="3" t="s">
        <v>1534</v>
      </c>
    </row>
    <row r="1632" spans="1:4" ht="24.75" customHeight="1">
      <c r="A1632" s="3" t="str">
        <f>"34892021110517231845704"</f>
        <v>34892021110517231845704</v>
      </c>
      <c r="B1632" s="3" t="s">
        <v>428</v>
      </c>
      <c r="C1632" s="3" t="str">
        <f>"罗名宣"</f>
        <v>罗名宣</v>
      </c>
      <c r="D1632" s="3" t="s">
        <v>1535</v>
      </c>
    </row>
    <row r="1633" spans="1:4" ht="24.75" customHeight="1">
      <c r="A1633" s="3" t="str">
        <f>"34892021110517260945710"</f>
        <v>34892021110517260945710</v>
      </c>
      <c r="B1633" s="3" t="s">
        <v>428</v>
      </c>
      <c r="C1633" s="3" t="str">
        <f>"陈可大"</f>
        <v>陈可大</v>
      </c>
      <c r="D1633" s="3" t="s">
        <v>1536</v>
      </c>
    </row>
    <row r="1634" spans="1:4" ht="24.75" customHeight="1">
      <c r="A1634" s="3" t="str">
        <f>"34892021110517320045718"</f>
        <v>34892021110517320045718</v>
      </c>
      <c r="B1634" s="3" t="s">
        <v>428</v>
      </c>
      <c r="C1634" s="3" t="str">
        <f>"林彩虹"</f>
        <v>林彩虹</v>
      </c>
      <c r="D1634" s="3" t="s">
        <v>1537</v>
      </c>
    </row>
    <row r="1635" spans="1:4" ht="24.75" customHeight="1">
      <c r="A1635" s="3" t="str">
        <f>"34892021110517453845723"</f>
        <v>34892021110517453845723</v>
      </c>
      <c r="B1635" s="3" t="s">
        <v>428</v>
      </c>
      <c r="C1635" s="3" t="str">
        <f>"苏颖娇"</f>
        <v>苏颖娇</v>
      </c>
      <c r="D1635" s="3" t="s">
        <v>1538</v>
      </c>
    </row>
    <row r="1636" spans="1:4" ht="24.75" customHeight="1">
      <c r="A1636" s="3" t="str">
        <f>"34892021110517472045724"</f>
        <v>34892021110517472045724</v>
      </c>
      <c r="B1636" s="3" t="s">
        <v>428</v>
      </c>
      <c r="C1636" s="3" t="str">
        <f>"黄身平"</f>
        <v>黄身平</v>
      </c>
      <c r="D1636" s="3" t="s">
        <v>1539</v>
      </c>
    </row>
    <row r="1637" spans="1:4" ht="24.75" customHeight="1">
      <c r="A1637" s="3" t="str">
        <f>"34892021110518071445745"</f>
        <v>34892021110518071445745</v>
      </c>
      <c r="B1637" s="3" t="s">
        <v>428</v>
      </c>
      <c r="C1637" s="3" t="str">
        <f>"冯运培"</f>
        <v>冯运培</v>
      </c>
      <c r="D1637" s="3" t="s">
        <v>1540</v>
      </c>
    </row>
    <row r="1638" spans="1:4" ht="24.75" customHeight="1">
      <c r="A1638" s="3" t="str">
        <f>"34892021110518101245748"</f>
        <v>34892021110518101245748</v>
      </c>
      <c r="B1638" s="3" t="s">
        <v>428</v>
      </c>
      <c r="C1638" s="3" t="str">
        <f>"李奇亮"</f>
        <v>李奇亮</v>
      </c>
      <c r="D1638" s="3" t="s">
        <v>1541</v>
      </c>
    </row>
    <row r="1639" spans="1:4" ht="24.75" customHeight="1">
      <c r="A1639" s="3" t="str">
        <f>"34892021110518132645750"</f>
        <v>34892021110518132645750</v>
      </c>
      <c r="B1639" s="3" t="s">
        <v>428</v>
      </c>
      <c r="C1639" s="3" t="str">
        <f>"陈健"</f>
        <v>陈健</v>
      </c>
      <c r="D1639" s="3" t="s">
        <v>1542</v>
      </c>
    </row>
    <row r="1640" spans="1:4" ht="24.75" customHeight="1">
      <c r="A1640" s="3" t="str">
        <f>"34892021110518213145762"</f>
        <v>34892021110518213145762</v>
      </c>
      <c r="B1640" s="3" t="s">
        <v>428</v>
      </c>
      <c r="C1640" s="3" t="str">
        <f>"王榕"</f>
        <v>王榕</v>
      </c>
      <c r="D1640" s="3" t="s">
        <v>1543</v>
      </c>
    </row>
    <row r="1641" spans="1:4" ht="24.75" customHeight="1">
      <c r="A1641" s="3" t="str">
        <f>"34892021110518244145764"</f>
        <v>34892021110518244145764</v>
      </c>
      <c r="B1641" s="3" t="s">
        <v>428</v>
      </c>
      <c r="C1641" s="3" t="str">
        <f>"李贤翠"</f>
        <v>李贤翠</v>
      </c>
      <c r="D1641" s="3" t="s">
        <v>1544</v>
      </c>
    </row>
    <row r="1642" spans="1:4" ht="24.75" customHeight="1">
      <c r="A1642" s="3" t="str">
        <f>"34892021110518253145765"</f>
        <v>34892021110518253145765</v>
      </c>
      <c r="B1642" s="3" t="s">
        <v>428</v>
      </c>
      <c r="C1642" s="3" t="str">
        <f>"江英英"</f>
        <v>江英英</v>
      </c>
      <c r="D1642" s="3" t="s">
        <v>1545</v>
      </c>
    </row>
    <row r="1643" spans="1:4" ht="24.75" customHeight="1">
      <c r="A1643" s="3" t="str">
        <f>"34892021110518274545767"</f>
        <v>34892021110518274545767</v>
      </c>
      <c r="B1643" s="3" t="s">
        <v>428</v>
      </c>
      <c r="C1643" s="3" t="str">
        <f>"饶建刚"</f>
        <v>饶建刚</v>
      </c>
      <c r="D1643" s="3" t="s">
        <v>1546</v>
      </c>
    </row>
    <row r="1644" spans="1:4" ht="24.75" customHeight="1">
      <c r="A1644" s="3" t="str">
        <f>"34892021110518313745770"</f>
        <v>34892021110518313745770</v>
      </c>
      <c r="B1644" s="3" t="s">
        <v>428</v>
      </c>
      <c r="C1644" s="3" t="str">
        <f>"韦泽涛"</f>
        <v>韦泽涛</v>
      </c>
      <c r="D1644" s="3" t="s">
        <v>1547</v>
      </c>
    </row>
    <row r="1645" spans="1:4" ht="24.75" customHeight="1">
      <c r="A1645" s="3" t="str">
        <f>"34892021110518412245774"</f>
        <v>34892021110518412245774</v>
      </c>
      <c r="B1645" s="3" t="s">
        <v>428</v>
      </c>
      <c r="C1645" s="3" t="str">
        <f>"吴淑琼"</f>
        <v>吴淑琼</v>
      </c>
      <c r="D1645" s="3" t="s">
        <v>1548</v>
      </c>
    </row>
    <row r="1646" spans="1:4" ht="24.75" customHeight="1">
      <c r="A1646" s="3" t="str">
        <f>"34892021110518422545777"</f>
        <v>34892021110518422545777</v>
      </c>
      <c r="B1646" s="3" t="s">
        <v>428</v>
      </c>
      <c r="C1646" s="3" t="str">
        <f>"肖婷"</f>
        <v>肖婷</v>
      </c>
      <c r="D1646" s="3" t="s">
        <v>1549</v>
      </c>
    </row>
    <row r="1647" spans="1:4" ht="24.75" customHeight="1">
      <c r="A1647" s="3" t="str">
        <f>"34892021110518510545783"</f>
        <v>34892021110518510545783</v>
      </c>
      <c r="B1647" s="3" t="s">
        <v>428</v>
      </c>
      <c r="C1647" s="3" t="str">
        <f>"朱梓诚"</f>
        <v>朱梓诚</v>
      </c>
      <c r="D1647" s="3" t="s">
        <v>1550</v>
      </c>
    </row>
    <row r="1648" spans="1:4" ht="24.75" customHeight="1">
      <c r="A1648" s="3" t="str">
        <f>"34892021110519095645791"</f>
        <v>34892021110519095645791</v>
      </c>
      <c r="B1648" s="3" t="s">
        <v>428</v>
      </c>
      <c r="C1648" s="3" t="str">
        <f>"周妍"</f>
        <v>周妍</v>
      </c>
      <c r="D1648" s="3" t="s">
        <v>1551</v>
      </c>
    </row>
    <row r="1649" spans="1:4" ht="24.75" customHeight="1">
      <c r="A1649" s="3" t="str">
        <f>"34892021110519112945793"</f>
        <v>34892021110519112945793</v>
      </c>
      <c r="B1649" s="3" t="s">
        <v>428</v>
      </c>
      <c r="C1649" s="3" t="str">
        <f>"王萃梓"</f>
        <v>王萃梓</v>
      </c>
      <c r="D1649" s="3" t="s">
        <v>1552</v>
      </c>
    </row>
    <row r="1650" spans="1:4" ht="24.75" customHeight="1">
      <c r="A1650" s="3" t="str">
        <f>"34892021110519150945798"</f>
        <v>34892021110519150945798</v>
      </c>
      <c r="B1650" s="3" t="s">
        <v>428</v>
      </c>
      <c r="C1650" s="3" t="str">
        <f>"庄荣靖"</f>
        <v>庄荣靖</v>
      </c>
      <c r="D1650" s="3" t="s">
        <v>1553</v>
      </c>
    </row>
    <row r="1651" spans="1:4" ht="24.75" customHeight="1">
      <c r="A1651" s="3" t="str">
        <f>"34892021110519242945803"</f>
        <v>34892021110519242945803</v>
      </c>
      <c r="B1651" s="3" t="s">
        <v>428</v>
      </c>
      <c r="C1651" s="3" t="str">
        <f>"陶婷婷"</f>
        <v>陶婷婷</v>
      </c>
      <c r="D1651" s="3" t="s">
        <v>1554</v>
      </c>
    </row>
    <row r="1652" spans="1:4" ht="24.75" customHeight="1">
      <c r="A1652" s="3" t="str">
        <f>"34892021110519244745804"</f>
        <v>34892021110519244745804</v>
      </c>
      <c r="B1652" s="3" t="s">
        <v>428</v>
      </c>
      <c r="C1652" s="3" t="str">
        <f>"符滢洁"</f>
        <v>符滢洁</v>
      </c>
      <c r="D1652" s="3" t="s">
        <v>1555</v>
      </c>
    </row>
    <row r="1653" spans="1:4" ht="24.75" customHeight="1">
      <c r="A1653" s="3" t="str">
        <f>"34892021110519280645806"</f>
        <v>34892021110519280645806</v>
      </c>
      <c r="B1653" s="3" t="s">
        <v>428</v>
      </c>
      <c r="C1653" s="3" t="str">
        <f>"冯崇栩"</f>
        <v>冯崇栩</v>
      </c>
      <c r="D1653" s="3" t="s">
        <v>914</v>
      </c>
    </row>
    <row r="1654" spans="1:4" ht="24.75" customHeight="1">
      <c r="A1654" s="3" t="str">
        <f>"34892021110519545145819"</f>
        <v>34892021110519545145819</v>
      </c>
      <c r="B1654" s="3" t="s">
        <v>428</v>
      </c>
      <c r="C1654" s="3" t="str">
        <f>"钟玮曈"</f>
        <v>钟玮曈</v>
      </c>
      <c r="D1654" s="3" t="s">
        <v>1556</v>
      </c>
    </row>
    <row r="1655" spans="1:4" ht="24.75" customHeight="1">
      <c r="A1655" s="3" t="str">
        <f>"34892021110519551545820"</f>
        <v>34892021110519551545820</v>
      </c>
      <c r="B1655" s="3" t="s">
        <v>428</v>
      </c>
      <c r="C1655" s="3" t="str">
        <f>"陈靖"</f>
        <v>陈靖</v>
      </c>
      <c r="D1655" s="3" t="s">
        <v>1557</v>
      </c>
    </row>
    <row r="1656" spans="1:4" ht="24.75" customHeight="1">
      <c r="A1656" s="3" t="str">
        <f>"34892021110519571345821"</f>
        <v>34892021110519571345821</v>
      </c>
      <c r="B1656" s="3" t="s">
        <v>428</v>
      </c>
      <c r="C1656" s="3" t="str">
        <f>"王丹"</f>
        <v>王丹</v>
      </c>
      <c r="D1656" s="3" t="s">
        <v>1558</v>
      </c>
    </row>
    <row r="1657" spans="1:4" ht="24.75" customHeight="1">
      <c r="A1657" s="3" t="str">
        <f>"34892021110520131045836"</f>
        <v>34892021110520131045836</v>
      </c>
      <c r="B1657" s="3" t="s">
        <v>428</v>
      </c>
      <c r="C1657" s="3" t="str">
        <f>"吴雪欣"</f>
        <v>吴雪欣</v>
      </c>
      <c r="D1657" s="3" t="s">
        <v>917</v>
      </c>
    </row>
    <row r="1658" spans="1:4" ht="24.75" customHeight="1">
      <c r="A1658" s="3" t="str">
        <f>"34892021110520160945838"</f>
        <v>34892021110520160945838</v>
      </c>
      <c r="B1658" s="3" t="s">
        <v>428</v>
      </c>
      <c r="C1658" s="3" t="str">
        <f>"郑昕"</f>
        <v>郑昕</v>
      </c>
      <c r="D1658" s="3" t="s">
        <v>1559</v>
      </c>
    </row>
    <row r="1659" spans="1:4" ht="24.75" customHeight="1">
      <c r="A1659" s="3" t="str">
        <f>"34892021110520185245840"</f>
        <v>34892021110520185245840</v>
      </c>
      <c r="B1659" s="3" t="s">
        <v>428</v>
      </c>
      <c r="C1659" s="3" t="str">
        <f>"杨橹橘"</f>
        <v>杨橹橘</v>
      </c>
      <c r="D1659" s="3" t="s">
        <v>1560</v>
      </c>
    </row>
    <row r="1660" spans="1:4" ht="24.75" customHeight="1">
      <c r="A1660" s="3" t="str">
        <f>"34892021110520375045856"</f>
        <v>34892021110520375045856</v>
      </c>
      <c r="B1660" s="3" t="s">
        <v>428</v>
      </c>
      <c r="C1660" s="3" t="str">
        <f>"谢春苗"</f>
        <v>谢春苗</v>
      </c>
      <c r="D1660" s="3" t="s">
        <v>1561</v>
      </c>
    </row>
    <row r="1661" spans="1:4" ht="24.75" customHeight="1">
      <c r="A1661" s="3" t="str">
        <f>"34892021110520380345858"</f>
        <v>34892021110520380345858</v>
      </c>
      <c r="B1661" s="3" t="s">
        <v>428</v>
      </c>
      <c r="C1661" s="3" t="str">
        <f>"李平凯"</f>
        <v>李平凯</v>
      </c>
      <c r="D1661" s="3" t="s">
        <v>1562</v>
      </c>
    </row>
    <row r="1662" spans="1:4" ht="24.75" customHeight="1">
      <c r="A1662" s="3" t="str">
        <f>"34892021110520414345860"</f>
        <v>34892021110520414345860</v>
      </c>
      <c r="B1662" s="3" t="s">
        <v>428</v>
      </c>
      <c r="C1662" s="3" t="str">
        <f>"林小强"</f>
        <v>林小强</v>
      </c>
      <c r="D1662" s="3" t="s">
        <v>1563</v>
      </c>
    </row>
    <row r="1663" spans="1:4" ht="24.75" customHeight="1">
      <c r="A1663" s="3" t="str">
        <f>"34892021110520420445863"</f>
        <v>34892021110520420445863</v>
      </c>
      <c r="B1663" s="3" t="s">
        <v>428</v>
      </c>
      <c r="C1663" s="3" t="str">
        <f>"杨启萍"</f>
        <v>杨启萍</v>
      </c>
      <c r="D1663" s="3" t="s">
        <v>1564</v>
      </c>
    </row>
    <row r="1664" spans="1:4" ht="24.75" customHeight="1">
      <c r="A1664" s="3" t="str">
        <f>"34892021110520570245873"</f>
        <v>34892021110520570245873</v>
      </c>
      <c r="B1664" s="3" t="s">
        <v>428</v>
      </c>
      <c r="C1664" s="3" t="str">
        <f>"周少娜"</f>
        <v>周少娜</v>
      </c>
      <c r="D1664" s="3" t="s">
        <v>1565</v>
      </c>
    </row>
    <row r="1665" spans="1:4" ht="24.75" customHeight="1">
      <c r="A1665" s="3" t="str">
        <f>"34892021110521071045882"</f>
        <v>34892021110521071045882</v>
      </c>
      <c r="B1665" s="3" t="s">
        <v>428</v>
      </c>
      <c r="C1665" s="3" t="str">
        <f>"唐小妹"</f>
        <v>唐小妹</v>
      </c>
      <c r="D1665" s="3" t="s">
        <v>1566</v>
      </c>
    </row>
    <row r="1666" spans="1:4" ht="24.75" customHeight="1">
      <c r="A1666" s="3" t="str">
        <f>"34892021110521113045886"</f>
        <v>34892021110521113045886</v>
      </c>
      <c r="B1666" s="3" t="s">
        <v>428</v>
      </c>
      <c r="C1666" s="3" t="str">
        <f>"符燕丽"</f>
        <v>符燕丽</v>
      </c>
      <c r="D1666" s="3" t="s">
        <v>1567</v>
      </c>
    </row>
    <row r="1667" spans="1:4" ht="24.75" customHeight="1">
      <c r="A1667" s="3" t="str">
        <f>"34892021110521142245889"</f>
        <v>34892021110521142245889</v>
      </c>
      <c r="B1667" s="3" t="s">
        <v>428</v>
      </c>
      <c r="C1667" s="3" t="str">
        <f>"李周咸"</f>
        <v>李周咸</v>
      </c>
      <c r="D1667" s="3" t="s">
        <v>424</v>
      </c>
    </row>
    <row r="1668" spans="1:4" ht="24.75" customHeight="1">
      <c r="A1668" s="3" t="str">
        <f>"34892021110521160645890"</f>
        <v>34892021110521160645890</v>
      </c>
      <c r="B1668" s="3" t="s">
        <v>428</v>
      </c>
      <c r="C1668" s="3" t="str">
        <f>"杨琳"</f>
        <v>杨琳</v>
      </c>
      <c r="D1668" s="3" t="s">
        <v>1568</v>
      </c>
    </row>
    <row r="1669" spans="1:4" ht="24.75" customHeight="1">
      <c r="A1669" s="3" t="str">
        <f>"34892021110521170045891"</f>
        <v>34892021110521170045891</v>
      </c>
      <c r="B1669" s="3" t="s">
        <v>428</v>
      </c>
      <c r="C1669" s="3" t="str">
        <f>"符江格"</f>
        <v>符江格</v>
      </c>
      <c r="D1669" s="3" t="s">
        <v>1569</v>
      </c>
    </row>
    <row r="1670" spans="1:4" ht="24.75" customHeight="1">
      <c r="A1670" s="3" t="str">
        <f>"34892021110521220345894"</f>
        <v>34892021110521220345894</v>
      </c>
      <c r="B1670" s="3" t="s">
        <v>428</v>
      </c>
      <c r="C1670" s="3" t="str">
        <f>"吴美红"</f>
        <v>吴美红</v>
      </c>
      <c r="D1670" s="3" t="s">
        <v>1570</v>
      </c>
    </row>
    <row r="1671" spans="1:4" ht="24.75" customHeight="1">
      <c r="A1671" s="3" t="str">
        <f>"34892021110521265345899"</f>
        <v>34892021110521265345899</v>
      </c>
      <c r="B1671" s="3" t="s">
        <v>428</v>
      </c>
      <c r="C1671" s="3" t="str">
        <f>"蔡汝忠"</f>
        <v>蔡汝忠</v>
      </c>
      <c r="D1671" s="3" t="s">
        <v>1571</v>
      </c>
    </row>
    <row r="1672" spans="1:4" ht="24.75" customHeight="1">
      <c r="A1672" s="3" t="str">
        <f>"34892021110521283245901"</f>
        <v>34892021110521283245901</v>
      </c>
      <c r="B1672" s="3" t="s">
        <v>428</v>
      </c>
      <c r="C1672" s="3" t="str">
        <f>"陈会宾"</f>
        <v>陈会宾</v>
      </c>
      <c r="D1672" s="3" t="s">
        <v>1572</v>
      </c>
    </row>
    <row r="1673" spans="1:4" ht="24.75" customHeight="1">
      <c r="A1673" s="3" t="str">
        <f>"34892021110521292945902"</f>
        <v>34892021110521292945902</v>
      </c>
      <c r="B1673" s="3" t="s">
        <v>428</v>
      </c>
      <c r="C1673" s="3" t="str">
        <f>"洪艺"</f>
        <v>洪艺</v>
      </c>
      <c r="D1673" s="3" t="s">
        <v>1573</v>
      </c>
    </row>
    <row r="1674" spans="1:4" ht="24.75" customHeight="1">
      <c r="A1674" s="3" t="str">
        <f>"34892021110521312445904"</f>
        <v>34892021110521312445904</v>
      </c>
      <c r="B1674" s="3" t="s">
        <v>428</v>
      </c>
      <c r="C1674" s="3" t="str">
        <f>"李文朗"</f>
        <v>李文朗</v>
      </c>
      <c r="D1674" s="3" t="s">
        <v>1574</v>
      </c>
    </row>
    <row r="1675" spans="1:4" ht="24.75" customHeight="1">
      <c r="A1675" s="3" t="str">
        <f>"34892021110521355345908"</f>
        <v>34892021110521355345908</v>
      </c>
      <c r="B1675" s="3" t="s">
        <v>428</v>
      </c>
      <c r="C1675" s="3" t="str">
        <f>"夏香"</f>
        <v>夏香</v>
      </c>
      <c r="D1675" s="3" t="s">
        <v>1575</v>
      </c>
    </row>
    <row r="1676" spans="1:4" ht="24.75" customHeight="1">
      <c r="A1676" s="3" t="str">
        <f>"34892021110521405245910"</f>
        <v>34892021110521405245910</v>
      </c>
      <c r="B1676" s="3" t="s">
        <v>428</v>
      </c>
      <c r="C1676" s="3" t="str">
        <f>"陈丽锦"</f>
        <v>陈丽锦</v>
      </c>
      <c r="D1676" s="3" t="s">
        <v>1576</v>
      </c>
    </row>
    <row r="1677" spans="1:4" ht="24.75" customHeight="1">
      <c r="A1677" s="3" t="str">
        <f>"34892021110521413345911"</f>
        <v>34892021110521413345911</v>
      </c>
      <c r="B1677" s="3" t="s">
        <v>428</v>
      </c>
      <c r="C1677" s="3" t="str">
        <f>"符海尔"</f>
        <v>符海尔</v>
      </c>
      <c r="D1677" s="3" t="s">
        <v>1577</v>
      </c>
    </row>
    <row r="1678" spans="1:4" ht="24.75" customHeight="1">
      <c r="A1678" s="3" t="str">
        <f>"34892021110521482945917"</f>
        <v>34892021110521482945917</v>
      </c>
      <c r="B1678" s="3" t="s">
        <v>428</v>
      </c>
      <c r="C1678" s="3" t="str">
        <f>"钟书美"</f>
        <v>钟书美</v>
      </c>
      <c r="D1678" s="3" t="s">
        <v>1578</v>
      </c>
    </row>
    <row r="1679" spans="1:4" ht="24.75" customHeight="1">
      <c r="A1679" s="3" t="str">
        <f>"34892021110521560045923"</f>
        <v>34892021110521560045923</v>
      </c>
      <c r="B1679" s="3" t="s">
        <v>428</v>
      </c>
      <c r="C1679" s="3" t="str">
        <f>"许青青"</f>
        <v>许青青</v>
      </c>
      <c r="D1679" s="3" t="s">
        <v>1579</v>
      </c>
    </row>
    <row r="1680" spans="1:4" ht="24.75" customHeight="1">
      <c r="A1680" s="3" t="str">
        <f>"34892021110521581545927"</f>
        <v>34892021110521581545927</v>
      </c>
      <c r="B1680" s="3" t="s">
        <v>428</v>
      </c>
      <c r="C1680" s="3" t="str">
        <f>"何惠高"</f>
        <v>何惠高</v>
      </c>
      <c r="D1680" s="3" t="s">
        <v>1580</v>
      </c>
    </row>
    <row r="1681" spans="1:4" ht="24.75" customHeight="1">
      <c r="A1681" s="3" t="str">
        <f>"34892021110521584945928"</f>
        <v>34892021110521584945928</v>
      </c>
      <c r="B1681" s="3" t="s">
        <v>428</v>
      </c>
      <c r="C1681" s="3" t="str">
        <f>"王丹梅"</f>
        <v>王丹梅</v>
      </c>
      <c r="D1681" s="3" t="s">
        <v>1581</v>
      </c>
    </row>
    <row r="1682" spans="1:4" ht="24.75" customHeight="1">
      <c r="A1682" s="3" t="str">
        <f>"34892021110522042845933"</f>
        <v>34892021110522042845933</v>
      </c>
      <c r="B1682" s="3" t="s">
        <v>428</v>
      </c>
      <c r="C1682" s="3" t="str">
        <f>"陈艳丹"</f>
        <v>陈艳丹</v>
      </c>
      <c r="D1682" s="3" t="s">
        <v>1582</v>
      </c>
    </row>
    <row r="1683" spans="1:4" ht="24.75" customHeight="1">
      <c r="A1683" s="3" t="str">
        <f>"34892021110522242045946"</f>
        <v>34892021110522242045946</v>
      </c>
      <c r="B1683" s="3" t="s">
        <v>428</v>
      </c>
      <c r="C1683" s="3" t="str">
        <f>"陈国徽"</f>
        <v>陈国徽</v>
      </c>
      <c r="D1683" s="3" t="s">
        <v>1583</v>
      </c>
    </row>
    <row r="1684" spans="1:4" ht="24.75" customHeight="1">
      <c r="A1684" s="3" t="str">
        <f>"34892021110522243745947"</f>
        <v>34892021110522243745947</v>
      </c>
      <c r="B1684" s="3" t="s">
        <v>428</v>
      </c>
      <c r="C1684" s="3" t="str">
        <f>"吴德成"</f>
        <v>吴德成</v>
      </c>
      <c r="D1684" s="3" t="s">
        <v>1584</v>
      </c>
    </row>
    <row r="1685" spans="1:4" ht="24.75" customHeight="1">
      <c r="A1685" s="3" t="str">
        <f>"34892021110522281545948"</f>
        <v>34892021110522281545948</v>
      </c>
      <c r="B1685" s="3" t="s">
        <v>428</v>
      </c>
      <c r="C1685" s="3" t="str">
        <f>"杨晓敏"</f>
        <v>杨晓敏</v>
      </c>
      <c r="D1685" s="3" t="s">
        <v>1585</v>
      </c>
    </row>
    <row r="1686" spans="1:4" ht="24.75" customHeight="1">
      <c r="A1686" s="3" t="str">
        <f>"34892021110522284045950"</f>
        <v>34892021110522284045950</v>
      </c>
      <c r="B1686" s="3" t="s">
        <v>428</v>
      </c>
      <c r="C1686" s="3" t="str">
        <f>"徐启胜"</f>
        <v>徐启胜</v>
      </c>
      <c r="D1686" s="3" t="s">
        <v>1498</v>
      </c>
    </row>
    <row r="1687" spans="1:4" ht="24.75" customHeight="1">
      <c r="A1687" s="3" t="str">
        <f>"34892021110522370645959"</f>
        <v>34892021110522370645959</v>
      </c>
      <c r="B1687" s="3" t="s">
        <v>428</v>
      </c>
      <c r="C1687" s="3" t="str">
        <f>"林明明"</f>
        <v>林明明</v>
      </c>
      <c r="D1687" s="3" t="s">
        <v>1586</v>
      </c>
    </row>
    <row r="1688" spans="1:4" ht="24.75" customHeight="1">
      <c r="A1688" s="3" t="str">
        <f>"34892021110522403645961"</f>
        <v>34892021110522403645961</v>
      </c>
      <c r="B1688" s="3" t="s">
        <v>428</v>
      </c>
      <c r="C1688" s="3" t="str">
        <f>"林伟东"</f>
        <v>林伟东</v>
      </c>
      <c r="D1688" s="3" t="s">
        <v>1587</v>
      </c>
    </row>
    <row r="1689" spans="1:4" ht="24.75" customHeight="1">
      <c r="A1689" s="3" t="str">
        <f>"34892021110522470245968"</f>
        <v>34892021110522470245968</v>
      </c>
      <c r="B1689" s="3" t="s">
        <v>428</v>
      </c>
      <c r="C1689" s="3" t="str">
        <f>"王艳"</f>
        <v>王艳</v>
      </c>
      <c r="D1689" s="3" t="s">
        <v>1397</v>
      </c>
    </row>
    <row r="1690" spans="1:4" ht="24.75" customHeight="1">
      <c r="A1690" s="3" t="str">
        <f>"34892021110522531645975"</f>
        <v>34892021110522531645975</v>
      </c>
      <c r="B1690" s="3" t="s">
        <v>428</v>
      </c>
      <c r="C1690" s="3" t="str">
        <f>"陈晓斌"</f>
        <v>陈晓斌</v>
      </c>
      <c r="D1690" s="3" t="s">
        <v>1588</v>
      </c>
    </row>
    <row r="1691" spans="1:4" ht="24.75" customHeight="1">
      <c r="A1691" s="3" t="str">
        <f>"34892021110523020645982"</f>
        <v>34892021110523020645982</v>
      </c>
      <c r="B1691" s="3" t="s">
        <v>428</v>
      </c>
      <c r="C1691" s="3" t="str">
        <f>"梁定春"</f>
        <v>梁定春</v>
      </c>
      <c r="D1691" s="3" t="s">
        <v>1589</v>
      </c>
    </row>
    <row r="1692" spans="1:4" ht="24.75" customHeight="1">
      <c r="A1692" s="3" t="str">
        <f>"34892021110523041945984"</f>
        <v>34892021110523041945984</v>
      </c>
      <c r="B1692" s="3" t="s">
        <v>428</v>
      </c>
      <c r="C1692" s="3" t="str">
        <f>"刘俊泽"</f>
        <v>刘俊泽</v>
      </c>
      <c r="D1692" s="3" t="s">
        <v>948</v>
      </c>
    </row>
    <row r="1693" spans="1:4" ht="24.75" customHeight="1">
      <c r="A1693" s="3" t="str">
        <f>"34892021110523074945988"</f>
        <v>34892021110523074945988</v>
      </c>
      <c r="B1693" s="3" t="s">
        <v>428</v>
      </c>
      <c r="C1693" s="3" t="str">
        <f>"陈才斌"</f>
        <v>陈才斌</v>
      </c>
      <c r="D1693" s="3" t="s">
        <v>1590</v>
      </c>
    </row>
    <row r="1694" spans="1:4" ht="24.75" customHeight="1">
      <c r="A1694" s="3" t="str">
        <f>"34892021110523090145989"</f>
        <v>34892021110523090145989</v>
      </c>
      <c r="B1694" s="3" t="s">
        <v>428</v>
      </c>
      <c r="C1694" s="3" t="str">
        <f>"王梦露"</f>
        <v>王梦露</v>
      </c>
      <c r="D1694" s="3" t="s">
        <v>35</v>
      </c>
    </row>
    <row r="1695" spans="1:4" ht="24.75" customHeight="1">
      <c r="A1695" s="3" t="str">
        <f>"34892021110523140445990"</f>
        <v>34892021110523140445990</v>
      </c>
      <c r="B1695" s="3" t="s">
        <v>428</v>
      </c>
      <c r="C1695" s="3" t="str">
        <f>"张太宁"</f>
        <v>张太宁</v>
      </c>
      <c r="D1695" s="3" t="s">
        <v>1591</v>
      </c>
    </row>
    <row r="1696" spans="1:4" ht="24.75" customHeight="1">
      <c r="A1696" s="3" t="str">
        <f>"34892021110523150745991"</f>
        <v>34892021110523150745991</v>
      </c>
      <c r="B1696" s="3" t="s">
        <v>428</v>
      </c>
      <c r="C1696" s="3" t="str">
        <f>"张梦莹"</f>
        <v>张梦莹</v>
      </c>
      <c r="D1696" s="3" t="s">
        <v>1592</v>
      </c>
    </row>
    <row r="1697" spans="1:4" ht="24.75" customHeight="1">
      <c r="A1697" s="3" t="str">
        <f>"34892021110523173445994"</f>
        <v>34892021110523173445994</v>
      </c>
      <c r="B1697" s="3" t="s">
        <v>428</v>
      </c>
      <c r="C1697" s="3" t="str">
        <f>"张雯婷"</f>
        <v>张雯婷</v>
      </c>
      <c r="D1697" s="3" t="s">
        <v>1593</v>
      </c>
    </row>
    <row r="1698" spans="1:4" ht="24.75" customHeight="1">
      <c r="A1698" s="3" t="str">
        <f>"34892021110523210245997"</f>
        <v>34892021110523210245997</v>
      </c>
      <c r="B1698" s="3" t="s">
        <v>428</v>
      </c>
      <c r="C1698" s="3" t="str">
        <f>"符明智"</f>
        <v>符明智</v>
      </c>
      <c r="D1698" s="3" t="s">
        <v>1594</v>
      </c>
    </row>
    <row r="1699" spans="1:4" ht="24.75" customHeight="1">
      <c r="A1699" s="3" t="str">
        <f>"34892021110523341346008"</f>
        <v>34892021110523341346008</v>
      </c>
      <c r="B1699" s="3" t="s">
        <v>428</v>
      </c>
      <c r="C1699" s="3" t="str">
        <f>"周丽莎"</f>
        <v>周丽莎</v>
      </c>
      <c r="D1699" s="3" t="s">
        <v>1595</v>
      </c>
    </row>
    <row r="1700" spans="1:4" ht="24.75" customHeight="1">
      <c r="A1700" s="3" t="str">
        <f>"34892021110523350746009"</f>
        <v>34892021110523350746009</v>
      </c>
      <c r="B1700" s="3" t="s">
        <v>428</v>
      </c>
      <c r="C1700" s="3" t="str">
        <f>"陈小精"</f>
        <v>陈小精</v>
      </c>
      <c r="D1700" s="3" t="s">
        <v>1596</v>
      </c>
    </row>
    <row r="1701" spans="1:4" ht="24.75" customHeight="1">
      <c r="A1701" s="3" t="str">
        <f>"34892021110523434746012"</f>
        <v>34892021110523434746012</v>
      </c>
      <c r="B1701" s="3" t="s">
        <v>428</v>
      </c>
      <c r="C1701" s="3" t="str">
        <f>"陈丁"</f>
        <v>陈丁</v>
      </c>
      <c r="D1701" s="3" t="s">
        <v>1597</v>
      </c>
    </row>
    <row r="1702" spans="1:4" ht="24.75" customHeight="1">
      <c r="A1702" s="3" t="str">
        <f>"34892021110523564346023"</f>
        <v>34892021110523564346023</v>
      </c>
      <c r="B1702" s="3" t="s">
        <v>428</v>
      </c>
      <c r="C1702" s="3" t="str">
        <f>"蒙捷"</f>
        <v>蒙捷</v>
      </c>
      <c r="D1702" s="3" t="s">
        <v>1598</v>
      </c>
    </row>
    <row r="1703" spans="1:4" ht="24.75" customHeight="1">
      <c r="A1703" s="3" t="str">
        <f>"34892021110600433146034"</f>
        <v>34892021110600433146034</v>
      </c>
      <c r="B1703" s="3" t="s">
        <v>428</v>
      </c>
      <c r="C1703" s="3" t="str">
        <f>"陈永帅"</f>
        <v>陈永帅</v>
      </c>
      <c r="D1703" s="3" t="s">
        <v>1599</v>
      </c>
    </row>
    <row r="1704" spans="1:4" ht="24.75" customHeight="1">
      <c r="A1704" s="3" t="str">
        <f>"34892021110600445046036"</f>
        <v>34892021110600445046036</v>
      </c>
      <c r="B1704" s="3" t="s">
        <v>428</v>
      </c>
      <c r="C1704" s="3" t="str">
        <f>"马丹"</f>
        <v>马丹</v>
      </c>
      <c r="D1704" s="3" t="s">
        <v>1600</v>
      </c>
    </row>
    <row r="1705" spans="1:4" ht="24.75" customHeight="1">
      <c r="A1705" s="3" t="str">
        <f>"34892021110600534446038"</f>
        <v>34892021110600534446038</v>
      </c>
      <c r="B1705" s="3" t="s">
        <v>428</v>
      </c>
      <c r="C1705" s="3" t="str">
        <f>"梁萍"</f>
        <v>梁萍</v>
      </c>
      <c r="D1705" s="3" t="s">
        <v>1601</v>
      </c>
    </row>
    <row r="1706" spans="1:4" ht="24.75" customHeight="1">
      <c r="A1706" s="3" t="str">
        <f>"34892021110601054046041"</f>
        <v>34892021110601054046041</v>
      </c>
      <c r="B1706" s="3" t="s">
        <v>428</v>
      </c>
      <c r="C1706" s="3" t="str">
        <f>"王俊越"</f>
        <v>王俊越</v>
      </c>
      <c r="D1706" s="3" t="s">
        <v>1602</v>
      </c>
    </row>
    <row r="1707" spans="1:4" ht="24.75" customHeight="1">
      <c r="A1707" s="3" t="str">
        <f>"34892021110601462146046"</f>
        <v>34892021110601462146046</v>
      </c>
      <c r="B1707" s="3" t="s">
        <v>428</v>
      </c>
      <c r="C1707" s="3" t="str">
        <f>"张云霞"</f>
        <v>张云霞</v>
      </c>
      <c r="D1707" s="3" t="s">
        <v>1603</v>
      </c>
    </row>
    <row r="1708" spans="1:4" ht="24.75" customHeight="1">
      <c r="A1708" s="3" t="str">
        <f>"34892021110603493446052"</f>
        <v>34892021110603493446052</v>
      </c>
      <c r="B1708" s="3" t="s">
        <v>428</v>
      </c>
      <c r="C1708" s="3" t="str">
        <f>"陈嘉琳"</f>
        <v>陈嘉琳</v>
      </c>
      <c r="D1708" s="3" t="s">
        <v>1604</v>
      </c>
    </row>
    <row r="1709" spans="1:4" ht="24.75" customHeight="1">
      <c r="A1709" s="3" t="str">
        <f>"34892021110607064346054"</f>
        <v>34892021110607064346054</v>
      </c>
      <c r="B1709" s="3" t="s">
        <v>428</v>
      </c>
      <c r="C1709" s="3" t="str">
        <f>"张云鹏"</f>
        <v>张云鹏</v>
      </c>
      <c r="D1709" s="3" t="s">
        <v>1605</v>
      </c>
    </row>
    <row r="1710" spans="1:4" ht="24.75" customHeight="1">
      <c r="A1710" s="3" t="str">
        <f>"34892021110608174546060"</f>
        <v>34892021110608174546060</v>
      </c>
      <c r="B1710" s="3" t="s">
        <v>428</v>
      </c>
      <c r="C1710" s="3" t="str">
        <f>"廖苑彤"</f>
        <v>廖苑彤</v>
      </c>
      <c r="D1710" s="3" t="s">
        <v>1606</v>
      </c>
    </row>
    <row r="1711" spans="1:4" ht="24.75" customHeight="1">
      <c r="A1711" s="3" t="str">
        <f>"34892021110608260046064"</f>
        <v>34892021110608260046064</v>
      </c>
      <c r="B1711" s="3" t="s">
        <v>428</v>
      </c>
      <c r="C1711" s="3" t="str">
        <f>"陈志明"</f>
        <v>陈志明</v>
      </c>
      <c r="D1711" s="3" t="s">
        <v>1607</v>
      </c>
    </row>
    <row r="1712" spans="1:4" ht="24.75" customHeight="1">
      <c r="A1712" s="3" t="str">
        <f>"34892021110608305646067"</f>
        <v>34892021110608305646067</v>
      </c>
      <c r="B1712" s="3" t="s">
        <v>428</v>
      </c>
      <c r="C1712" s="3" t="str">
        <f>"王冰"</f>
        <v>王冰</v>
      </c>
      <c r="D1712" s="3" t="s">
        <v>1391</v>
      </c>
    </row>
    <row r="1713" spans="1:4" ht="24.75" customHeight="1">
      <c r="A1713" s="3" t="str">
        <f>"34892021110608310446068"</f>
        <v>34892021110608310446068</v>
      </c>
      <c r="B1713" s="3" t="s">
        <v>428</v>
      </c>
      <c r="C1713" s="3" t="str">
        <f>"李自渊"</f>
        <v>李自渊</v>
      </c>
      <c r="D1713" s="3" t="s">
        <v>1608</v>
      </c>
    </row>
    <row r="1714" spans="1:4" ht="24.75" customHeight="1">
      <c r="A1714" s="3" t="str">
        <f>"34892021110608325046069"</f>
        <v>34892021110608325046069</v>
      </c>
      <c r="B1714" s="3" t="s">
        <v>428</v>
      </c>
      <c r="C1714" s="3" t="str">
        <f>"吴典融"</f>
        <v>吴典融</v>
      </c>
      <c r="D1714" s="3" t="s">
        <v>1609</v>
      </c>
    </row>
    <row r="1715" spans="1:4" ht="24.75" customHeight="1">
      <c r="A1715" s="3" t="str">
        <f>"34892021110608331646070"</f>
        <v>34892021110608331646070</v>
      </c>
      <c r="B1715" s="3" t="s">
        <v>428</v>
      </c>
      <c r="C1715" s="3" t="str">
        <f>"麦著龙"</f>
        <v>麦著龙</v>
      </c>
      <c r="D1715" s="3" t="s">
        <v>1610</v>
      </c>
    </row>
    <row r="1716" spans="1:4" ht="24.75" customHeight="1">
      <c r="A1716" s="3" t="str">
        <f>"34892021110608453646074"</f>
        <v>34892021110608453646074</v>
      </c>
      <c r="B1716" s="3" t="s">
        <v>428</v>
      </c>
      <c r="C1716" s="3" t="str">
        <f>"王惠花"</f>
        <v>王惠花</v>
      </c>
      <c r="D1716" s="3" t="s">
        <v>1611</v>
      </c>
    </row>
    <row r="1717" spans="1:4" ht="24.75" customHeight="1">
      <c r="A1717" s="3" t="str">
        <f>"34892021110609164346082"</f>
        <v>34892021110609164346082</v>
      </c>
      <c r="B1717" s="3" t="s">
        <v>428</v>
      </c>
      <c r="C1717" s="3" t="str">
        <f>"李觉祥"</f>
        <v>李觉祥</v>
      </c>
      <c r="D1717" s="3" t="s">
        <v>1612</v>
      </c>
    </row>
    <row r="1718" spans="1:4" ht="24.75" customHeight="1">
      <c r="A1718" s="3" t="str">
        <f>"34892021110609372546095"</f>
        <v>34892021110609372546095</v>
      </c>
      <c r="B1718" s="3" t="s">
        <v>428</v>
      </c>
      <c r="C1718" s="3" t="str">
        <f>"王育祥"</f>
        <v>王育祥</v>
      </c>
      <c r="D1718" s="3" t="s">
        <v>1608</v>
      </c>
    </row>
    <row r="1719" spans="1:4" ht="24.75" customHeight="1">
      <c r="A1719" s="3" t="str">
        <f>"34892021110609421446099"</f>
        <v>34892021110609421446099</v>
      </c>
      <c r="B1719" s="3" t="s">
        <v>428</v>
      </c>
      <c r="C1719" s="3" t="str">
        <f>"范思娜"</f>
        <v>范思娜</v>
      </c>
      <c r="D1719" s="3" t="s">
        <v>1613</v>
      </c>
    </row>
    <row r="1720" spans="1:4" ht="24.75" customHeight="1">
      <c r="A1720" s="3" t="str">
        <f>"34892021110609524146107"</f>
        <v>34892021110609524146107</v>
      </c>
      <c r="B1720" s="3" t="s">
        <v>428</v>
      </c>
      <c r="C1720" s="3" t="str">
        <f>"沈运振"</f>
        <v>沈运振</v>
      </c>
      <c r="D1720" s="3" t="s">
        <v>1614</v>
      </c>
    </row>
    <row r="1721" spans="1:4" ht="24.75" customHeight="1">
      <c r="A1721" s="3" t="str">
        <f>"34892021110609555846110"</f>
        <v>34892021110609555846110</v>
      </c>
      <c r="B1721" s="3" t="s">
        <v>428</v>
      </c>
      <c r="C1721" s="3" t="str">
        <f>"林明博"</f>
        <v>林明博</v>
      </c>
      <c r="D1721" s="3" t="s">
        <v>1615</v>
      </c>
    </row>
    <row r="1722" spans="1:4" ht="24.75" customHeight="1">
      <c r="A1722" s="3" t="str">
        <f>"34892021110610000946115"</f>
        <v>34892021110610000946115</v>
      </c>
      <c r="B1722" s="3" t="s">
        <v>428</v>
      </c>
      <c r="C1722" s="3" t="str">
        <f>"黎姑美"</f>
        <v>黎姑美</v>
      </c>
      <c r="D1722" s="3" t="s">
        <v>1616</v>
      </c>
    </row>
    <row r="1723" spans="1:4" ht="24.75" customHeight="1">
      <c r="A1723" s="3" t="str">
        <f>"34892021110610005846117"</f>
        <v>34892021110610005846117</v>
      </c>
      <c r="B1723" s="3" t="s">
        <v>428</v>
      </c>
      <c r="C1723" s="3" t="str">
        <f>"谭瑶"</f>
        <v>谭瑶</v>
      </c>
      <c r="D1723" s="3" t="s">
        <v>1617</v>
      </c>
    </row>
    <row r="1724" spans="1:4" ht="24.75" customHeight="1">
      <c r="A1724" s="3" t="str">
        <f>"34892021110610125646122"</f>
        <v>34892021110610125646122</v>
      </c>
      <c r="B1724" s="3" t="s">
        <v>428</v>
      </c>
      <c r="C1724" s="3" t="str">
        <f>"王开成"</f>
        <v>王开成</v>
      </c>
      <c r="D1724" s="3" t="s">
        <v>1618</v>
      </c>
    </row>
    <row r="1725" spans="1:4" ht="24.75" customHeight="1">
      <c r="A1725" s="3" t="str">
        <f>"34892021110610325546131"</f>
        <v>34892021110610325546131</v>
      </c>
      <c r="B1725" s="3" t="s">
        <v>428</v>
      </c>
      <c r="C1725" s="3" t="str">
        <f>"林昌正"</f>
        <v>林昌正</v>
      </c>
      <c r="D1725" s="3" t="s">
        <v>1619</v>
      </c>
    </row>
    <row r="1726" spans="1:4" ht="24.75" customHeight="1">
      <c r="A1726" s="3" t="str">
        <f>"34892021110610335546133"</f>
        <v>34892021110610335546133</v>
      </c>
      <c r="B1726" s="3" t="s">
        <v>428</v>
      </c>
      <c r="C1726" s="3" t="str">
        <f>"姚国伟"</f>
        <v>姚国伟</v>
      </c>
      <c r="D1726" s="3" t="s">
        <v>1620</v>
      </c>
    </row>
    <row r="1727" spans="1:4" ht="24.75" customHeight="1">
      <c r="A1727" s="3" t="str">
        <f>"34892021110610430946142"</f>
        <v>34892021110610430946142</v>
      </c>
      <c r="B1727" s="3" t="s">
        <v>428</v>
      </c>
      <c r="C1727" s="3" t="str">
        <f>"黄晓莹"</f>
        <v>黄晓莹</v>
      </c>
      <c r="D1727" s="3" t="s">
        <v>1621</v>
      </c>
    </row>
    <row r="1728" spans="1:4" ht="24.75" customHeight="1">
      <c r="A1728" s="3" t="str">
        <f>"34892021110610490646144"</f>
        <v>34892021110610490646144</v>
      </c>
      <c r="B1728" s="3" t="s">
        <v>428</v>
      </c>
      <c r="C1728" s="3" t="str">
        <f>"吕精妹"</f>
        <v>吕精妹</v>
      </c>
      <c r="D1728" s="3" t="s">
        <v>1622</v>
      </c>
    </row>
    <row r="1729" spans="1:4" ht="24.75" customHeight="1">
      <c r="A1729" s="3" t="str">
        <f>"34892021110610491546145"</f>
        <v>34892021110610491546145</v>
      </c>
      <c r="B1729" s="3" t="s">
        <v>428</v>
      </c>
      <c r="C1729" s="3" t="str">
        <f>"李名江"</f>
        <v>李名江</v>
      </c>
      <c r="D1729" s="3" t="s">
        <v>1623</v>
      </c>
    </row>
    <row r="1730" spans="1:4" ht="24.75" customHeight="1">
      <c r="A1730" s="3" t="str">
        <f>"34892021110610561246149"</f>
        <v>34892021110610561246149</v>
      </c>
      <c r="B1730" s="3" t="s">
        <v>428</v>
      </c>
      <c r="C1730" s="3" t="str">
        <f>"王铭"</f>
        <v>王铭</v>
      </c>
      <c r="D1730" s="3" t="s">
        <v>1624</v>
      </c>
    </row>
    <row r="1731" spans="1:4" ht="24.75" customHeight="1">
      <c r="A1731" s="3" t="str">
        <f>"34892021110611181446172"</f>
        <v>34892021110611181446172</v>
      </c>
      <c r="B1731" s="3" t="s">
        <v>428</v>
      </c>
      <c r="C1731" s="3" t="str">
        <f>"王光满"</f>
        <v>王光满</v>
      </c>
      <c r="D1731" s="3" t="s">
        <v>351</v>
      </c>
    </row>
    <row r="1732" spans="1:4" ht="24.75" customHeight="1">
      <c r="A1732" s="3" t="str">
        <f>"34892021110611355846190"</f>
        <v>34892021110611355846190</v>
      </c>
      <c r="B1732" s="3" t="s">
        <v>428</v>
      </c>
      <c r="C1732" s="3" t="str">
        <f>"石翠露"</f>
        <v>石翠露</v>
      </c>
      <c r="D1732" s="3" t="s">
        <v>1625</v>
      </c>
    </row>
    <row r="1733" spans="1:4" ht="24.75" customHeight="1">
      <c r="A1733" s="3" t="str">
        <f>"34892021110612072246214"</f>
        <v>34892021110612072246214</v>
      </c>
      <c r="B1733" s="3" t="s">
        <v>428</v>
      </c>
      <c r="C1733" s="3" t="str">
        <f>"欧方林"</f>
        <v>欧方林</v>
      </c>
      <c r="D1733" s="3" t="s">
        <v>1626</v>
      </c>
    </row>
    <row r="1734" spans="1:4" ht="24.75" customHeight="1">
      <c r="A1734" s="3" t="str">
        <f>"34892021110612162046218"</f>
        <v>34892021110612162046218</v>
      </c>
      <c r="B1734" s="3" t="s">
        <v>428</v>
      </c>
      <c r="C1734" s="3" t="str">
        <f>"王春云"</f>
        <v>王春云</v>
      </c>
      <c r="D1734" s="3" t="s">
        <v>1627</v>
      </c>
    </row>
    <row r="1735" spans="1:4" ht="24.75" customHeight="1">
      <c r="A1735" s="3" t="str">
        <f>"34892021110612235646221"</f>
        <v>34892021110612235646221</v>
      </c>
      <c r="B1735" s="3" t="s">
        <v>428</v>
      </c>
      <c r="C1735" s="3" t="str">
        <f>"程飒飒"</f>
        <v>程飒飒</v>
      </c>
      <c r="D1735" s="3" t="s">
        <v>1628</v>
      </c>
    </row>
    <row r="1736" spans="1:4" ht="24.75" customHeight="1">
      <c r="A1736" s="3" t="str">
        <f>"34892021110612402646230"</f>
        <v>34892021110612402646230</v>
      </c>
      <c r="B1736" s="3" t="s">
        <v>428</v>
      </c>
      <c r="C1736" s="3" t="str">
        <f>"洪慧婷"</f>
        <v>洪慧婷</v>
      </c>
      <c r="D1736" s="3" t="s">
        <v>1629</v>
      </c>
    </row>
    <row r="1737" spans="1:4" ht="24.75" customHeight="1">
      <c r="A1737" s="3" t="str">
        <f>"34892021110613082746245"</f>
        <v>34892021110613082746245</v>
      </c>
      <c r="B1737" s="3" t="s">
        <v>428</v>
      </c>
      <c r="C1737" s="3" t="str">
        <f>"王娜"</f>
        <v>王娜</v>
      </c>
      <c r="D1737" s="3" t="s">
        <v>94</v>
      </c>
    </row>
    <row r="1738" spans="1:4" ht="24.75" customHeight="1">
      <c r="A1738" s="3" t="str">
        <f>"34892021110613092746246"</f>
        <v>34892021110613092746246</v>
      </c>
      <c r="B1738" s="3" t="s">
        <v>428</v>
      </c>
      <c r="C1738" s="3" t="str">
        <f>"尹朝霞"</f>
        <v>尹朝霞</v>
      </c>
      <c r="D1738" s="3" t="s">
        <v>1630</v>
      </c>
    </row>
    <row r="1739" spans="1:4" ht="24.75" customHeight="1">
      <c r="A1739" s="3" t="str">
        <f>"34892021110613112546247"</f>
        <v>34892021110613112546247</v>
      </c>
      <c r="B1739" s="3" t="s">
        <v>428</v>
      </c>
      <c r="C1739" s="3" t="str">
        <f>"吴廷光"</f>
        <v>吴廷光</v>
      </c>
      <c r="D1739" s="3" t="s">
        <v>1631</v>
      </c>
    </row>
    <row r="1740" spans="1:4" ht="24.75" customHeight="1">
      <c r="A1740" s="3" t="str">
        <f>"34892021110613174046253"</f>
        <v>34892021110613174046253</v>
      </c>
      <c r="B1740" s="3" t="s">
        <v>428</v>
      </c>
      <c r="C1740" s="3" t="str">
        <f>"邹一佳"</f>
        <v>邹一佳</v>
      </c>
      <c r="D1740" s="3" t="s">
        <v>1632</v>
      </c>
    </row>
    <row r="1741" spans="1:4" ht="24.75" customHeight="1">
      <c r="A1741" s="3" t="str">
        <f>"34892021110613251846257"</f>
        <v>34892021110613251846257</v>
      </c>
      <c r="B1741" s="3" t="s">
        <v>428</v>
      </c>
      <c r="C1741" s="3" t="str">
        <f>"王丽群"</f>
        <v>王丽群</v>
      </c>
      <c r="D1741" s="3" t="s">
        <v>1633</v>
      </c>
    </row>
    <row r="1742" spans="1:4" ht="24.75" customHeight="1">
      <c r="A1742" s="3" t="str">
        <f>"34892021110613471846265"</f>
        <v>34892021110613471846265</v>
      </c>
      <c r="B1742" s="3" t="s">
        <v>428</v>
      </c>
      <c r="C1742" s="3" t="str">
        <f>"王海燕"</f>
        <v>王海燕</v>
      </c>
      <c r="D1742" s="3" t="s">
        <v>1634</v>
      </c>
    </row>
    <row r="1743" spans="1:4" ht="24.75" customHeight="1">
      <c r="A1743" s="3" t="str">
        <f>"34892021110613474546266"</f>
        <v>34892021110613474546266</v>
      </c>
      <c r="B1743" s="3" t="s">
        <v>428</v>
      </c>
      <c r="C1743" s="3" t="str">
        <f>"何奕颖"</f>
        <v>何奕颖</v>
      </c>
      <c r="D1743" s="3" t="s">
        <v>344</v>
      </c>
    </row>
    <row r="1744" spans="1:4" ht="24.75" customHeight="1">
      <c r="A1744" s="3" t="str">
        <f>"34892021110613474746267"</f>
        <v>34892021110613474746267</v>
      </c>
      <c r="B1744" s="3" t="s">
        <v>428</v>
      </c>
      <c r="C1744" s="3" t="str">
        <f>"林小慧"</f>
        <v>林小慧</v>
      </c>
      <c r="D1744" s="3" t="s">
        <v>1635</v>
      </c>
    </row>
    <row r="1745" spans="1:4" ht="24.75" customHeight="1">
      <c r="A1745" s="3" t="str">
        <f>"34892021110613564246272"</f>
        <v>34892021110613564246272</v>
      </c>
      <c r="B1745" s="3" t="s">
        <v>428</v>
      </c>
      <c r="C1745" s="3" t="str">
        <f>"林培培"</f>
        <v>林培培</v>
      </c>
      <c r="D1745" s="3" t="s">
        <v>1636</v>
      </c>
    </row>
    <row r="1746" spans="1:4" ht="24.75" customHeight="1">
      <c r="A1746" s="3" t="str">
        <f>"34892021110614050546276"</f>
        <v>34892021110614050546276</v>
      </c>
      <c r="B1746" s="3" t="s">
        <v>428</v>
      </c>
      <c r="C1746" s="3" t="str">
        <f>"余秋云"</f>
        <v>余秋云</v>
      </c>
      <c r="D1746" s="3" t="s">
        <v>1637</v>
      </c>
    </row>
    <row r="1747" spans="1:4" ht="24.75" customHeight="1">
      <c r="A1747" s="3" t="str">
        <f>"34892021110614134846280"</f>
        <v>34892021110614134846280</v>
      </c>
      <c r="B1747" s="3" t="s">
        <v>428</v>
      </c>
      <c r="C1747" s="3" t="str">
        <f>"陈慧"</f>
        <v>陈慧</v>
      </c>
      <c r="D1747" s="3" t="s">
        <v>883</v>
      </c>
    </row>
    <row r="1748" spans="1:4" ht="24.75" customHeight="1">
      <c r="A1748" s="3" t="str">
        <f>"34892021110614214646282"</f>
        <v>34892021110614214646282</v>
      </c>
      <c r="B1748" s="3" t="s">
        <v>428</v>
      </c>
      <c r="C1748" s="3" t="str">
        <f>"杜月玲"</f>
        <v>杜月玲</v>
      </c>
      <c r="D1748" s="3" t="s">
        <v>1638</v>
      </c>
    </row>
    <row r="1749" spans="1:4" ht="24.75" customHeight="1">
      <c r="A1749" s="3" t="str">
        <f>"34892021110614411346295"</f>
        <v>34892021110614411346295</v>
      </c>
      <c r="B1749" s="3" t="s">
        <v>428</v>
      </c>
      <c r="C1749" s="3" t="str">
        <f>"卢喜凤"</f>
        <v>卢喜凤</v>
      </c>
      <c r="D1749" s="3" t="s">
        <v>1639</v>
      </c>
    </row>
    <row r="1750" spans="1:4" ht="24.75" customHeight="1">
      <c r="A1750" s="3" t="str">
        <f>"34892021110614590246309"</f>
        <v>34892021110614590246309</v>
      </c>
      <c r="B1750" s="3" t="s">
        <v>428</v>
      </c>
      <c r="C1750" s="3" t="str">
        <f>"彭蕾"</f>
        <v>彭蕾</v>
      </c>
      <c r="D1750" s="3" t="s">
        <v>1640</v>
      </c>
    </row>
    <row r="1751" spans="1:4" ht="24.75" customHeight="1">
      <c r="A1751" s="3" t="str">
        <f>"34892021110615090646315"</f>
        <v>34892021110615090646315</v>
      </c>
      <c r="B1751" s="3" t="s">
        <v>428</v>
      </c>
      <c r="C1751" s="3" t="str">
        <f>"黄君"</f>
        <v>黄君</v>
      </c>
      <c r="D1751" s="3" t="s">
        <v>183</v>
      </c>
    </row>
    <row r="1752" spans="1:4" ht="24.75" customHeight="1">
      <c r="A1752" s="3" t="str">
        <f>"34892021110615172946320"</f>
        <v>34892021110615172946320</v>
      </c>
      <c r="B1752" s="3" t="s">
        <v>428</v>
      </c>
      <c r="C1752" s="3" t="str">
        <f>"冯晓玲"</f>
        <v>冯晓玲</v>
      </c>
      <c r="D1752" s="3" t="s">
        <v>1641</v>
      </c>
    </row>
    <row r="1753" spans="1:4" ht="24.75" customHeight="1">
      <c r="A1753" s="3" t="str">
        <f>"34892021110615204446322"</f>
        <v>34892021110615204446322</v>
      </c>
      <c r="B1753" s="3" t="s">
        <v>428</v>
      </c>
      <c r="C1753" s="3" t="str">
        <f>"洪能"</f>
        <v>洪能</v>
      </c>
      <c r="D1753" s="3" t="s">
        <v>1642</v>
      </c>
    </row>
    <row r="1754" spans="1:4" ht="24.75" customHeight="1">
      <c r="A1754" s="3" t="str">
        <f>"34892021110615221846324"</f>
        <v>34892021110615221846324</v>
      </c>
      <c r="B1754" s="3" t="s">
        <v>428</v>
      </c>
      <c r="C1754" s="3" t="str">
        <f>"何高龙"</f>
        <v>何高龙</v>
      </c>
      <c r="D1754" s="3" t="s">
        <v>1643</v>
      </c>
    </row>
    <row r="1755" spans="1:4" ht="24.75" customHeight="1">
      <c r="A1755" s="3" t="str">
        <f>"34892021110615415646336"</f>
        <v>34892021110615415646336</v>
      </c>
      <c r="B1755" s="3" t="s">
        <v>428</v>
      </c>
      <c r="C1755" s="3" t="str">
        <f>"薛归乾"</f>
        <v>薛归乾</v>
      </c>
      <c r="D1755" s="3" t="s">
        <v>1644</v>
      </c>
    </row>
    <row r="1756" spans="1:4" ht="24.75" customHeight="1">
      <c r="A1756" s="3" t="str">
        <f>"34892021110615420146337"</f>
        <v>34892021110615420146337</v>
      </c>
      <c r="B1756" s="3" t="s">
        <v>428</v>
      </c>
      <c r="C1756" s="3" t="str">
        <f>"邢其婷"</f>
        <v>邢其婷</v>
      </c>
      <c r="D1756" s="3" t="s">
        <v>1645</v>
      </c>
    </row>
    <row r="1757" spans="1:4" ht="24.75" customHeight="1">
      <c r="A1757" s="3" t="str">
        <f>"34892021110616051346351"</f>
        <v>34892021110616051346351</v>
      </c>
      <c r="B1757" s="3" t="s">
        <v>428</v>
      </c>
      <c r="C1757" s="3" t="str">
        <f>"何伟"</f>
        <v>何伟</v>
      </c>
      <c r="D1757" s="3" t="s">
        <v>1646</v>
      </c>
    </row>
    <row r="1758" spans="1:4" ht="24.75" customHeight="1">
      <c r="A1758" s="3" t="str">
        <f>"34892021110616052946352"</f>
        <v>34892021110616052946352</v>
      </c>
      <c r="B1758" s="3" t="s">
        <v>428</v>
      </c>
      <c r="C1758" s="3" t="str">
        <f>"徐娅娜"</f>
        <v>徐娅娜</v>
      </c>
      <c r="D1758" s="3" t="s">
        <v>1647</v>
      </c>
    </row>
    <row r="1759" spans="1:4" ht="24.75" customHeight="1">
      <c r="A1759" s="3" t="str">
        <f>"34892021110616262946363"</f>
        <v>34892021110616262946363</v>
      </c>
      <c r="B1759" s="3" t="s">
        <v>428</v>
      </c>
      <c r="C1759" s="3" t="str">
        <f>"孙昊芸"</f>
        <v>孙昊芸</v>
      </c>
      <c r="D1759" s="3" t="s">
        <v>1648</v>
      </c>
    </row>
    <row r="1760" spans="1:4" ht="24.75" customHeight="1">
      <c r="A1760" s="3" t="str">
        <f>"34892021110616263546364"</f>
        <v>34892021110616263546364</v>
      </c>
      <c r="B1760" s="3" t="s">
        <v>428</v>
      </c>
      <c r="C1760" s="3" t="str">
        <f>"黄鑫"</f>
        <v>黄鑫</v>
      </c>
      <c r="D1760" s="3" t="s">
        <v>1649</v>
      </c>
    </row>
    <row r="1761" spans="1:4" ht="24.75" customHeight="1">
      <c r="A1761" s="3" t="str">
        <f>"34892021110616280246365"</f>
        <v>34892021110616280246365</v>
      </c>
      <c r="B1761" s="3" t="s">
        <v>428</v>
      </c>
      <c r="C1761" s="3" t="str">
        <f>"王颖"</f>
        <v>王颖</v>
      </c>
      <c r="D1761" s="3" t="s">
        <v>1650</v>
      </c>
    </row>
    <row r="1762" spans="1:4" ht="24.75" customHeight="1">
      <c r="A1762" s="3" t="str">
        <f>"34892021110616313146369"</f>
        <v>34892021110616313146369</v>
      </c>
      <c r="B1762" s="3" t="s">
        <v>428</v>
      </c>
      <c r="C1762" s="3" t="str">
        <f>"吴芳玲"</f>
        <v>吴芳玲</v>
      </c>
      <c r="D1762" s="3" t="s">
        <v>1651</v>
      </c>
    </row>
    <row r="1763" spans="1:4" ht="24.75" customHeight="1">
      <c r="A1763" s="3" t="str">
        <f>"34892021110616355846373"</f>
        <v>34892021110616355846373</v>
      </c>
      <c r="B1763" s="3" t="s">
        <v>428</v>
      </c>
      <c r="C1763" s="3" t="str">
        <f>"王楷"</f>
        <v>王楷</v>
      </c>
      <c r="D1763" s="3" t="s">
        <v>1652</v>
      </c>
    </row>
    <row r="1764" spans="1:4" ht="24.75" customHeight="1">
      <c r="A1764" s="3" t="str">
        <f>"34892021110616422046378"</f>
        <v>34892021110616422046378</v>
      </c>
      <c r="B1764" s="3" t="s">
        <v>428</v>
      </c>
      <c r="C1764" s="3" t="str">
        <f>"符元带"</f>
        <v>符元带</v>
      </c>
      <c r="D1764" s="3" t="s">
        <v>1653</v>
      </c>
    </row>
    <row r="1765" spans="1:4" ht="24.75" customHeight="1">
      <c r="A1765" s="3" t="str">
        <f>"34892021110616510346387"</f>
        <v>34892021110616510346387</v>
      </c>
      <c r="B1765" s="3" t="s">
        <v>428</v>
      </c>
      <c r="C1765" s="3" t="str">
        <f>"符冬羽"</f>
        <v>符冬羽</v>
      </c>
      <c r="D1765" s="3" t="s">
        <v>1654</v>
      </c>
    </row>
    <row r="1766" spans="1:4" ht="24.75" customHeight="1">
      <c r="A1766" s="3" t="str">
        <f>"34892021110617045046398"</f>
        <v>34892021110617045046398</v>
      </c>
      <c r="B1766" s="3" t="s">
        <v>428</v>
      </c>
      <c r="C1766" s="3" t="str">
        <f>"骆蔷卉"</f>
        <v>骆蔷卉</v>
      </c>
      <c r="D1766" s="3" t="s">
        <v>1655</v>
      </c>
    </row>
    <row r="1767" spans="1:4" ht="24.75" customHeight="1">
      <c r="A1767" s="3" t="str">
        <f>"34892021110617072746400"</f>
        <v>34892021110617072746400</v>
      </c>
      <c r="B1767" s="3" t="s">
        <v>428</v>
      </c>
      <c r="C1767" s="3" t="str">
        <f>"符彩丽"</f>
        <v>符彩丽</v>
      </c>
      <c r="D1767" s="3" t="s">
        <v>95</v>
      </c>
    </row>
    <row r="1768" spans="1:4" ht="24.75" customHeight="1">
      <c r="A1768" s="3" t="str">
        <f>"34892021110617112146402"</f>
        <v>34892021110617112146402</v>
      </c>
      <c r="B1768" s="3" t="s">
        <v>428</v>
      </c>
      <c r="C1768" s="3" t="str">
        <f>"张红卫"</f>
        <v>张红卫</v>
      </c>
      <c r="D1768" s="3" t="s">
        <v>1656</v>
      </c>
    </row>
    <row r="1769" spans="1:4" ht="24.75" customHeight="1">
      <c r="A1769" s="3" t="str">
        <f>"34892021110617122146404"</f>
        <v>34892021110617122146404</v>
      </c>
      <c r="B1769" s="3" t="s">
        <v>428</v>
      </c>
      <c r="C1769" s="3" t="str">
        <f>"冯娈凤"</f>
        <v>冯娈凤</v>
      </c>
      <c r="D1769" s="3" t="s">
        <v>1657</v>
      </c>
    </row>
    <row r="1770" spans="1:4" ht="24.75" customHeight="1">
      <c r="A1770" s="3" t="str">
        <f>"34892021110617251146409"</f>
        <v>34892021110617251146409</v>
      </c>
      <c r="B1770" s="3" t="s">
        <v>428</v>
      </c>
      <c r="C1770" s="3" t="str">
        <f>"黄永正"</f>
        <v>黄永正</v>
      </c>
      <c r="D1770" s="3" t="s">
        <v>470</v>
      </c>
    </row>
    <row r="1771" spans="1:4" ht="24.75" customHeight="1">
      <c r="A1771" s="3" t="str">
        <f>"34892021110617273346412"</f>
        <v>34892021110617273346412</v>
      </c>
      <c r="B1771" s="3" t="s">
        <v>428</v>
      </c>
      <c r="C1771" s="3" t="str">
        <f>"卢杉"</f>
        <v>卢杉</v>
      </c>
      <c r="D1771" s="3" t="s">
        <v>1658</v>
      </c>
    </row>
    <row r="1772" spans="1:4" ht="24.75" customHeight="1">
      <c r="A1772" s="3" t="str">
        <f>"34892021110617453846418"</f>
        <v>34892021110617453846418</v>
      </c>
      <c r="B1772" s="3" t="s">
        <v>428</v>
      </c>
      <c r="C1772" s="3" t="str">
        <f>"傅洁"</f>
        <v>傅洁</v>
      </c>
      <c r="D1772" s="3" t="s">
        <v>101</v>
      </c>
    </row>
    <row r="1773" spans="1:4" ht="24.75" customHeight="1">
      <c r="A1773" s="3" t="str">
        <f>"34892021110617533046421"</f>
        <v>34892021110617533046421</v>
      </c>
      <c r="B1773" s="3" t="s">
        <v>428</v>
      </c>
      <c r="C1773" s="3" t="str">
        <f>"文良春"</f>
        <v>文良春</v>
      </c>
      <c r="D1773" s="3" t="s">
        <v>1659</v>
      </c>
    </row>
    <row r="1774" spans="1:4" ht="24.75" customHeight="1">
      <c r="A1774" s="3" t="str">
        <f>"34892021110617565546425"</f>
        <v>34892021110617565546425</v>
      </c>
      <c r="B1774" s="3" t="s">
        <v>428</v>
      </c>
      <c r="C1774" s="3" t="str">
        <f>"李明存"</f>
        <v>李明存</v>
      </c>
      <c r="D1774" s="3" t="s">
        <v>1000</v>
      </c>
    </row>
    <row r="1775" spans="1:4" ht="24.75" customHeight="1">
      <c r="A1775" s="3" t="str">
        <f>"34892021110618221746432"</f>
        <v>34892021110618221746432</v>
      </c>
      <c r="B1775" s="3" t="s">
        <v>428</v>
      </c>
      <c r="C1775" s="3" t="str">
        <f>"范金兰"</f>
        <v>范金兰</v>
      </c>
      <c r="D1775" s="3" t="s">
        <v>1660</v>
      </c>
    </row>
    <row r="1776" spans="1:4" ht="24.75" customHeight="1">
      <c r="A1776" s="3" t="str">
        <f>"34892021110618272646435"</f>
        <v>34892021110618272646435</v>
      </c>
      <c r="B1776" s="3" t="s">
        <v>428</v>
      </c>
      <c r="C1776" s="3" t="str">
        <f>"黄智"</f>
        <v>黄智</v>
      </c>
      <c r="D1776" s="3" t="s">
        <v>1661</v>
      </c>
    </row>
    <row r="1777" spans="1:4" ht="24.75" customHeight="1">
      <c r="A1777" s="3" t="str">
        <f>"34892021110618395846442"</f>
        <v>34892021110618395846442</v>
      </c>
      <c r="B1777" s="3" t="s">
        <v>428</v>
      </c>
      <c r="C1777" s="3" t="str">
        <f>"刘扬"</f>
        <v>刘扬</v>
      </c>
      <c r="D1777" s="3" t="s">
        <v>1662</v>
      </c>
    </row>
    <row r="1778" spans="1:4" ht="24.75" customHeight="1">
      <c r="A1778" s="3" t="str">
        <f>"34892021110618404246443"</f>
        <v>34892021110618404246443</v>
      </c>
      <c r="B1778" s="3" t="s">
        <v>428</v>
      </c>
      <c r="C1778" s="3" t="str">
        <f>"叶鲜丽"</f>
        <v>叶鲜丽</v>
      </c>
      <c r="D1778" s="3" t="s">
        <v>1663</v>
      </c>
    </row>
    <row r="1779" spans="1:4" ht="24.75" customHeight="1">
      <c r="A1779" s="3" t="str">
        <f>"34892021110618404746444"</f>
        <v>34892021110618404746444</v>
      </c>
      <c r="B1779" s="3" t="s">
        <v>428</v>
      </c>
      <c r="C1779" s="3" t="str">
        <f>"曾谦"</f>
        <v>曾谦</v>
      </c>
      <c r="D1779" s="3" t="s">
        <v>1664</v>
      </c>
    </row>
    <row r="1780" spans="1:4" ht="24.75" customHeight="1">
      <c r="A1780" s="3" t="str">
        <f>"34892021110618455646446"</f>
        <v>34892021110618455646446</v>
      </c>
      <c r="B1780" s="3" t="s">
        <v>428</v>
      </c>
      <c r="C1780" s="3" t="str">
        <f>"吴素漫"</f>
        <v>吴素漫</v>
      </c>
      <c r="D1780" s="3" t="s">
        <v>1665</v>
      </c>
    </row>
    <row r="1781" spans="1:4" ht="24.75" customHeight="1">
      <c r="A1781" s="3" t="str">
        <f>"34892021110618462246447"</f>
        <v>34892021110618462246447</v>
      </c>
      <c r="B1781" s="3" t="s">
        <v>428</v>
      </c>
      <c r="C1781" s="3" t="str">
        <f>"邢君丽"</f>
        <v>邢君丽</v>
      </c>
      <c r="D1781" s="3" t="s">
        <v>1666</v>
      </c>
    </row>
    <row r="1782" spans="1:4" ht="24.75" customHeight="1">
      <c r="A1782" s="3" t="str">
        <f>"34892021110618491946448"</f>
        <v>34892021110618491946448</v>
      </c>
      <c r="B1782" s="3" t="s">
        <v>428</v>
      </c>
      <c r="C1782" s="3" t="str">
        <f>"蒙钟怡"</f>
        <v>蒙钟怡</v>
      </c>
      <c r="D1782" s="3" t="s">
        <v>1667</v>
      </c>
    </row>
    <row r="1783" spans="1:4" ht="24.75" customHeight="1">
      <c r="A1783" s="3" t="str">
        <f>"34892021110618551446450"</f>
        <v>34892021110618551446450</v>
      </c>
      <c r="B1783" s="3" t="s">
        <v>428</v>
      </c>
      <c r="C1783" s="3" t="str">
        <f>"麦小菊"</f>
        <v>麦小菊</v>
      </c>
      <c r="D1783" s="3" t="s">
        <v>1668</v>
      </c>
    </row>
    <row r="1784" spans="1:4" ht="24.75" customHeight="1">
      <c r="A1784" s="3" t="str">
        <f>"34892021110619133846459"</f>
        <v>34892021110619133846459</v>
      </c>
      <c r="B1784" s="3" t="s">
        <v>428</v>
      </c>
      <c r="C1784" s="3" t="str">
        <f>"王清霖"</f>
        <v>王清霖</v>
      </c>
      <c r="D1784" s="3" t="s">
        <v>450</v>
      </c>
    </row>
    <row r="1785" spans="1:4" ht="24.75" customHeight="1">
      <c r="A1785" s="3" t="str">
        <f>"34892021110619404946469"</f>
        <v>34892021110619404946469</v>
      </c>
      <c r="B1785" s="3" t="s">
        <v>428</v>
      </c>
      <c r="C1785" s="3" t="str">
        <f>"符艳铃"</f>
        <v>符艳铃</v>
      </c>
      <c r="D1785" s="3" t="s">
        <v>1669</v>
      </c>
    </row>
    <row r="1786" spans="1:4" ht="24.75" customHeight="1">
      <c r="A1786" s="3" t="str">
        <f>"34892021110619453846473"</f>
        <v>34892021110619453846473</v>
      </c>
      <c r="B1786" s="3" t="s">
        <v>428</v>
      </c>
      <c r="C1786" s="3" t="str">
        <f>"吴捷"</f>
        <v>吴捷</v>
      </c>
      <c r="D1786" s="3" t="s">
        <v>454</v>
      </c>
    </row>
    <row r="1787" spans="1:4" ht="24.75" customHeight="1">
      <c r="A1787" s="3" t="str">
        <f>"34892021110619472446475"</f>
        <v>34892021110619472446475</v>
      </c>
      <c r="B1787" s="3" t="s">
        <v>428</v>
      </c>
      <c r="C1787" s="3" t="str">
        <f>"黄春椰"</f>
        <v>黄春椰</v>
      </c>
      <c r="D1787" s="3" t="s">
        <v>1670</v>
      </c>
    </row>
    <row r="1788" spans="1:4" ht="24.75" customHeight="1">
      <c r="A1788" s="3" t="str">
        <f>"34892021110620033046482"</f>
        <v>34892021110620033046482</v>
      </c>
      <c r="B1788" s="3" t="s">
        <v>428</v>
      </c>
      <c r="C1788" s="3" t="str">
        <f>"王雪"</f>
        <v>王雪</v>
      </c>
      <c r="D1788" s="3" t="s">
        <v>1671</v>
      </c>
    </row>
    <row r="1789" spans="1:4" ht="24.75" customHeight="1">
      <c r="A1789" s="3" t="str">
        <f>"34892021110620064346483"</f>
        <v>34892021110620064346483</v>
      </c>
      <c r="B1789" s="3" t="s">
        <v>428</v>
      </c>
      <c r="C1789" s="3" t="str">
        <f>"李仲江"</f>
        <v>李仲江</v>
      </c>
      <c r="D1789" s="3" t="s">
        <v>1672</v>
      </c>
    </row>
    <row r="1790" spans="1:4" ht="24.75" customHeight="1">
      <c r="A1790" s="3" t="str">
        <f>"34892021110620323446493"</f>
        <v>34892021110620323446493</v>
      </c>
      <c r="B1790" s="3" t="s">
        <v>428</v>
      </c>
      <c r="C1790" s="3" t="str">
        <f>"黄尚书"</f>
        <v>黄尚书</v>
      </c>
      <c r="D1790" s="3" t="s">
        <v>1673</v>
      </c>
    </row>
    <row r="1791" spans="1:4" ht="24.75" customHeight="1">
      <c r="A1791" s="3" t="str">
        <f>"34892021110620340346494"</f>
        <v>34892021110620340346494</v>
      </c>
      <c r="B1791" s="3" t="s">
        <v>428</v>
      </c>
      <c r="C1791" s="3" t="str">
        <f>"左格格"</f>
        <v>左格格</v>
      </c>
      <c r="D1791" s="3" t="s">
        <v>1674</v>
      </c>
    </row>
    <row r="1792" spans="1:4" ht="24.75" customHeight="1">
      <c r="A1792" s="3" t="str">
        <f>"34892021110620545746503"</f>
        <v>34892021110620545746503</v>
      </c>
      <c r="B1792" s="3" t="s">
        <v>428</v>
      </c>
      <c r="C1792" s="3" t="str">
        <f>"庄平和"</f>
        <v>庄平和</v>
      </c>
      <c r="D1792" s="3" t="s">
        <v>1299</v>
      </c>
    </row>
    <row r="1793" spans="1:4" ht="24.75" customHeight="1">
      <c r="A1793" s="3" t="str">
        <f>"34892021110621032646510"</f>
        <v>34892021110621032646510</v>
      </c>
      <c r="B1793" s="3" t="s">
        <v>428</v>
      </c>
      <c r="C1793" s="3" t="str">
        <f>"李道总"</f>
        <v>李道总</v>
      </c>
      <c r="D1793" s="3" t="s">
        <v>1643</v>
      </c>
    </row>
    <row r="1794" spans="1:4" ht="24.75" customHeight="1">
      <c r="A1794" s="3" t="str">
        <f>"34892021110621065346512"</f>
        <v>34892021110621065346512</v>
      </c>
      <c r="B1794" s="3" t="s">
        <v>428</v>
      </c>
      <c r="C1794" s="3" t="str">
        <f>"王春秋"</f>
        <v>王春秋</v>
      </c>
      <c r="D1794" s="3" t="s">
        <v>1675</v>
      </c>
    </row>
    <row r="1795" spans="1:4" ht="24.75" customHeight="1">
      <c r="A1795" s="3" t="str">
        <f>"34892021110621083246513"</f>
        <v>34892021110621083246513</v>
      </c>
      <c r="B1795" s="3" t="s">
        <v>428</v>
      </c>
      <c r="C1795" s="3" t="str">
        <f>"解春雨"</f>
        <v>解春雨</v>
      </c>
      <c r="D1795" s="3" t="s">
        <v>1676</v>
      </c>
    </row>
    <row r="1796" spans="1:4" ht="24.75" customHeight="1">
      <c r="A1796" s="3" t="str">
        <f>"34892021110621220346519"</f>
        <v>34892021110621220346519</v>
      </c>
      <c r="B1796" s="3" t="s">
        <v>428</v>
      </c>
      <c r="C1796" s="3" t="str">
        <f>"赵春燕"</f>
        <v>赵春燕</v>
      </c>
      <c r="D1796" s="3" t="s">
        <v>1677</v>
      </c>
    </row>
    <row r="1797" spans="1:4" ht="24.75" customHeight="1">
      <c r="A1797" s="3" t="str">
        <f>"34892021110621251846523"</f>
        <v>34892021110621251846523</v>
      </c>
      <c r="B1797" s="3" t="s">
        <v>428</v>
      </c>
      <c r="C1797" s="3" t="str">
        <f>"韩月波"</f>
        <v>韩月波</v>
      </c>
      <c r="D1797" s="3" t="s">
        <v>1678</v>
      </c>
    </row>
    <row r="1798" spans="1:4" ht="24.75" customHeight="1">
      <c r="A1798" s="3" t="str">
        <f>"34892021110621285546524"</f>
        <v>34892021110621285546524</v>
      </c>
      <c r="B1798" s="3" t="s">
        <v>428</v>
      </c>
      <c r="C1798" s="3" t="str">
        <f>"林丽萍"</f>
        <v>林丽萍</v>
      </c>
      <c r="D1798" s="3" t="s">
        <v>1679</v>
      </c>
    </row>
    <row r="1799" spans="1:4" ht="24.75" customHeight="1">
      <c r="A1799" s="3" t="str">
        <f>"34892021110621362846533"</f>
        <v>34892021110621362846533</v>
      </c>
      <c r="B1799" s="3" t="s">
        <v>428</v>
      </c>
      <c r="C1799" s="3" t="str">
        <f>"郭光群"</f>
        <v>郭光群</v>
      </c>
      <c r="D1799" s="3" t="s">
        <v>1680</v>
      </c>
    </row>
    <row r="1800" spans="1:4" ht="24.75" customHeight="1">
      <c r="A1800" s="3" t="str">
        <f>"34892021110621373246537"</f>
        <v>34892021110621373246537</v>
      </c>
      <c r="B1800" s="3" t="s">
        <v>428</v>
      </c>
      <c r="C1800" s="3" t="str">
        <f>"何伟泽"</f>
        <v>何伟泽</v>
      </c>
      <c r="D1800" s="3" t="s">
        <v>1681</v>
      </c>
    </row>
    <row r="1801" spans="1:4" ht="24.75" customHeight="1">
      <c r="A1801" s="3" t="str">
        <f>"34892021110621514046545"</f>
        <v>34892021110621514046545</v>
      </c>
      <c r="B1801" s="3" t="s">
        <v>428</v>
      </c>
      <c r="C1801" s="3" t="str">
        <f>"张峥"</f>
        <v>张峥</v>
      </c>
      <c r="D1801" s="3" t="s">
        <v>1682</v>
      </c>
    </row>
    <row r="1802" spans="1:4" ht="24.75" customHeight="1">
      <c r="A1802" s="3" t="str">
        <f>"34892021110621564946550"</f>
        <v>34892021110621564946550</v>
      </c>
      <c r="B1802" s="3" t="s">
        <v>428</v>
      </c>
      <c r="C1802" s="3" t="str">
        <f>"陈思卉"</f>
        <v>陈思卉</v>
      </c>
      <c r="D1802" s="3" t="s">
        <v>1683</v>
      </c>
    </row>
    <row r="1803" spans="1:4" ht="24.75" customHeight="1">
      <c r="A1803" s="3" t="str">
        <f>"34892021110621573846551"</f>
        <v>34892021110621573846551</v>
      </c>
      <c r="B1803" s="3" t="s">
        <v>428</v>
      </c>
      <c r="C1803" s="3" t="str">
        <f>"张惠云"</f>
        <v>张惠云</v>
      </c>
      <c r="D1803" s="3" t="s">
        <v>1684</v>
      </c>
    </row>
    <row r="1804" spans="1:4" ht="24.75" customHeight="1">
      <c r="A1804" s="3" t="str">
        <f>"34892021110622011346554"</f>
        <v>34892021110622011346554</v>
      </c>
      <c r="B1804" s="3" t="s">
        <v>428</v>
      </c>
      <c r="C1804" s="3" t="str">
        <f>"何小娜"</f>
        <v>何小娜</v>
      </c>
      <c r="D1804" s="3" t="s">
        <v>1685</v>
      </c>
    </row>
    <row r="1805" spans="1:4" ht="24.75" customHeight="1">
      <c r="A1805" s="3" t="str">
        <f>"34892021110622021846557"</f>
        <v>34892021110622021846557</v>
      </c>
      <c r="B1805" s="3" t="s">
        <v>428</v>
      </c>
      <c r="C1805" s="3" t="str">
        <f>"黄荣"</f>
        <v>黄荣</v>
      </c>
      <c r="D1805" s="3" t="s">
        <v>1686</v>
      </c>
    </row>
    <row r="1806" spans="1:4" ht="24.75" customHeight="1">
      <c r="A1806" s="3" t="str">
        <f>"34892021110622092646560"</f>
        <v>34892021110622092646560</v>
      </c>
      <c r="B1806" s="3" t="s">
        <v>428</v>
      </c>
      <c r="C1806" s="3" t="str">
        <f>"林祝秀"</f>
        <v>林祝秀</v>
      </c>
      <c r="D1806" s="3" t="s">
        <v>1687</v>
      </c>
    </row>
    <row r="1807" spans="1:4" ht="24.75" customHeight="1">
      <c r="A1807" s="3" t="str">
        <f>"34892021110622134046563"</f>
        <v>34892021110622134046563</v>
      </c>
      <c r="B1807" s="3" t="s">
        <v>428</v>
      </c>
      <c r="C1807" s="3" t="str">
        <f>"钟源源"</f>
        <v>钟源源</v>
      </c>
      <c r="D1807" s="3" t="s">
        <v>1688</v>
      </c>
    </row>
    <row r="1808" spans="1:4" ht="24.75" customHeight="1">
      <c r="A1808" s="3" t="str">
        <f>"34892021110622203046567"</f>
        <v>34892021110622203046567</v>
      </c>
      <c r="B1808" s="3" t="s">
        <v>428</v>
      </c>
      <c r="C1808" s="3" t="str">
        <f>"吴林莉"</f>
        <v>吴林莉</v>
      </c>
      <c r="D1808" s="3" t="s">
        <v>1689</v>
      </c>
    </row>
    <row r="1809" spans="1:4" ht="24.75" customHeight="1">
      <c r="A1809" s="3" t="str">
        <f>"34892021110622213446569"</f>
        <v>34892021110622213446569</v>
      </c>
      <c r="B1809" s="3" t="s">
        <v>428</v>
      </c>
      <c r="C1809" s="3" t="str">
        <f>"冯志丰"</f>
        <v>冯志丰</v>
      </c>
      <c r="D1809" s="3" t="s">
        <v>1690</v>
      </c>
    </row>
    <row r="1810" spans="1:4" ht="24.75" customHeight="1">
      <c r="A1810" s="3" t="str">
        <f>"34892021110622272446572"</f>
        <v>34892021110622272446572</v>
      </c>
      <c r="B1810" s="3" t="s">
        <v>428</v>
      </c>
      <c r="C1810" s="3" t="str">
        <f>"梁翔"</f>
        <v>梁翔</v>
      </c>
      <c r="D1810" s="3" t="s">
        <v>1691</v>
      </c>
    </row>
    <row r="1811" spans="1:4" ht="24.75" customHeight="1">
      <c r="A1811" s="3" t="str">
        <f>"34892021110622332246577"</f>
        <v>34892021110622332246577</v>
      </c>
      <c r="B1811" s="3" t="s">
        <v>428</v>
      </c>
      <c r="C1811" s="3" t="str">
        <f>"吉冰冰"</f>
        <v>吉冰冰</v>
      </c>
      <c r="D1811" s="3" t="s">
        <v>1692</v>
      </c>
    </row>
    <row r="1812" spans="1:4" ht="24.75" customHeight="1">
      <c r="A1812" s="3" t="str">
        <f>"34892021110622375746581"</f>
        <v>34892021110622375746581</v>
      </c>
      <c r="B1812" s="3" t="s">
        <v>428</v>
      </c>
      <c r="C1812" s="3" t="str">
        <f>"许治照"</f>
        <v>许治照</v>
      </c>
      <c r="D1812" s="3" t="s">
        <v>1693</v>
      </c>
    </row>
    <row r="1813" spans="1:4" ht="24.75" customHeight="1">
      <c r="A1813" s="3" t="str">
        <f>"34892021110622383346582"</f>
        <v>34892021110622383346582</v>
      </c>
      <c r="B1813" s="3" t="s">
        <v>428</v>
      </c>
      <c r="C1813" s="3" t="str">
        <f>"廖少冰"</f>
        <v>廖少冰</v>
      </c>
      <c r="D1813" s="3" t="s">
        <v>1694</v>
      </c>
    </row>
    <row r="1814" spans="1:4" ht="24.75" customHeight="1">
      <c r="A1814" s="3" t="str">
        <f>"34892021110622485646587"</f>
        <v>34892021110622485646587</v>
      </c>
      <c r="B1814" s="3" t="s">
        <v>428</v>
      </c>
      <c r="C1814" s="3" t="str">
        <f>"陈茵"</f>
        <v>陈茵</v>
      </c>
      <c r="D1814" s="3" t="s">
        <v>1695</v>
      </c>
    </row>
    <row r="1815" spans="1:4" ht="24.75" customHeight="1">
      <c r="A1815" s="3" t="str">
        <f>"34892021110622515146592"</f>
        <v>34892021110622515146592</v>
      </c>
      <c r="B1815" s="3" t="s">
        <v>428</v>
      </c>
      <c r="C1815" s="3" t="str">
        <f>"何深敏"</f>
        <v>何深敏</v>
      </c>
      <c r="D1815" s="3" t="s">
        <v>1696</v>
      </c>
    </row>
    <row r="1816" spans="1:4" ht="24.75" customHeight="1">
      <c r="A1816" s="3" t="str">
        <f>"34892021110623050046600"</f>
        <v>34892021110623050046600</v>
      </c>
      <c r="B1816" s="3" t="s">
        <v>428</v>
      </c>
      <c r="C1816" s="3" t="str">
        <f>"袁娟"</f>
        <v>袁娟</v>
      </c>
      <c r="D1816" s="3" t="s">
        <v>1697</v>
      </c>
    </row>
    <row r="1817" spans="1:4" ht="24.75" customHeight="1">
      <c r="A1817" s="3" t="str">
        <f>"34892021110623062946602"</f>
        <v>34892021110623062946602</v>
      </c>
      <c r="B1817" s="3" t="s">
        <v>428</v>
      </c>
      <c r="C1817" s="3" t="str">
        <f>"黄良璋"</f>
        <v>黄良璋</v>
      </c>
      <c r="D1817" s="3" t="s">
        <v>1698</v>
      </c>
    </row>
    <row r="1818" spans="1:4" ht="24.75" customHeight="1">
      <c r="A1818" s="3" t="str">
        <f>"34892021110623365346626"</f>
        <v>34892021110623365346626</v>
      </c>
      <c r="B1818" s="3" t="s">
        <v>428</v>
      </c>
      <c r="C1818" s="3" t="str">
        <f>"邢玲子"</f>
        <v>邢玲子</v>
      </c>
      <c r="D1818" s="3" t="s">
        <v>1699</v>
      </c>
    </row>
    <row r="1819" spans="1:4" ht="24.75" customHeight="1">
      <c r="A1819" s="3" t="str">
        <f>"34892021110623472146630"</f>
        <v>34892021110623472146630</v>
      </c>
      <c r="B1819" s="3" t="s">
        <v>428</v>
      </c>
      <c r="C1819" s="3" t="str">
        <f>"曹强锋"</f>
        <v>曹强锋</v>
      </c>
      <c r="D1819" s="3" t="s">
        <v>1700</v>
      </c>
    </row>
    <row r="1820" spans="1:4" ht="24.75" customHeight="1">
      <c r="A1820" s="3" t="str">
        <f>"34892021110700074446638"</f>
        <v>34892021110700074446638</v>
      </c>
      <c r="B1820" s="3" t="s">
        <v>428</v>
      </c>
      <c r="C1820" s="3" t="str">
        <f>"曾彬"</f>
        <v>曾彬</v>
      </c>
      <c r="D1820" s="3" t="s">
        <v>1701</v>
      </c>
    </row>
    <row r="1821" spans="1:4" ht="24.75" customHeight="1">
      <c r="A1821" s="3" t="str">
        <f>"34892021110700111546641"</f>
        <v>34892021110700111546641</v>
      </c>
      <c r="B1821" s="3" t="s">
        <v>428</v>
      </c>
      <c r="C1821" s="3" t="str">
        <f>"翁平"</f>
        <v>翁平</v>
      </c>
      <c r="D1821" s="3" t="s">
        <v>1702</v>
      </c>
    </row>
    <row r="1822" spans="1:4" ht="24.75" customHeight="1">
      <c r="A1822" s="3" t="str">
        <f>"34892021110700562046648"</f>
        <v>34892021110700562046648</v>
      </c>
      <c r="B1822" s="3" t="s">
        <v>428</v>
      </c>
      <c r="C1822" s="3" t="str">
        <f>"孙露露"</f>
        <v>孙露露</v>
      </c>
      <c r="D1822" s="3" t="s">
        <v>1703</v>
      </c>
    </row>
    <row r="1823" spans="1:4" ht="24.75" customHeight="1">
      <c r="A1823" s="3" t="str">
        <f>"34892021110702222046654"</f>
        <v>34892021110702222046654</v>
      </c>
      <c r="B1823" s="3" t="s">
        <v>428</v>
      </c>
      <c r="C1823" s="3" t="str">
        <f>"李上品"</f>
        <v>李上品</v>
      </c>
      <c r="D1823" s="3" t="s">
        <v>1704</v>
      </c>
    </row>
    <row r="1824" spans="1:4" ht="24.75" customHeight="1">
      <c r="A1824" s="3" t="str">
        <f>"34892021110707004546656"</f>
        <v>34892021110707004546656</v>
      </c>
      <c r="B1824" s="3" t="s">
        <v>428</v>
      </c>
      <c r="C1824" s="3" t="str">
        <f>"徐明麟"</f>
        <v>徐明麟</v>
      </c>
      <c r="D1824" s="3" t="s">
        <v>1705</v>
      </c>
    </row>
    <row r="1825" spans="1:4" ht="24.75" customHeight="1">
      <c r="A1825" s="3" t="str">
        <f>"34892021110708074746659"</f>
        <v>34892021110708074746659</v>
      </c>
      <c r="B1825" s="3" t="s">
        <v>428</v>
      </c>
      <c r="C1825" s="3" t="str">
        <f>"许世桃"</f>
        <v>许世桃</v>
      </c>
      <c r="D1825" s="3" t="s">
        <v>1706</v>
      </c>
    </row>
    <row r="1826" spans="1:4" ht="24.75" customHeight="1">
      <c r="A1826" s="3" t="str">
        <f>"34892021110708252046662"</f>
        <v>34892021110708252046662</v>
      </c>
      <c r="B1826" s="3" t="s">
        <v>428</v>
      </c>
      <c r="C1826" s="3" t="str">
        <f>"黄仁鸿"</f>
        <v>黄仁鸿</v>
      </c>
      <c r="D1826" s="3" t="s">
        <v>1707</v>
      </c>
    </row>
    <row r="1827" spans="1:4" ht="24.75" customHeight="1">
      <c r="A1827" s="3" t="str">
        <f>"34892021110708423046671"</f>
        <v>34892021110708423046671</v>
      </c>
      <c r="B1827" s="3" t="s">
        <v>428</v>
      </c>
      <c r="C1827" s="3" t="str">
        <f>"刘远航"</f>
        <v>刘远航</v>
      </c>
      <c r="D1827" s="3" t="s">
        <v>1708</v>
      </c>
    </row>
    <row r="1828" spans="1:4" ht="24.75" customHeight="1">
      <c r="A1828" s="3" t="str">
        <f>"34892021110708463746672"</f>
        <v>34892021110708463746672</v>
      </c>
      <c r="B1828" s="3" t="s">
        <v>428</v>
      </c>
      <c r="C1828" s="3" t="str">
        <f>"陈初妮"</f>
        <v>陈初妮</v>
      </c>
      <c r="D1828" s="3" t="s">
        <v>1709</v>
      </c>
    </row>
    <row r="1829" spans="1:4" ht="24.75" customHeight="1">
      <c r="A1829" s="3" t="str">
        <f>"34892021110709194646683"</f>
        <v>34892021110709194646683</v>
      </c>
      <c r="B1829" s="3" t="s">
        <v>428</v>
      </c>
      <c r="C1829" s="3" t="str">
        <f>"王丽文"</f>
        <v>王丽文</v>
      </c>
      <c r="D1829" s="3" t="s">
        <v>1710</v>
      </c>
    </row>
    <row r="1830" spans="1:4" ht="24.75" customHeight="1">
      <c r="A1830" s="3" t="str">
        <f>"34892021110709281146686"</f>
        <v>34892021110709281146686</v>
      </c>
      <c r="B1830" s="3" t="s">
        <v>428</v>
      </c>
      <c r="C1830" s="3" t="str">
        <f>"李艳丹"</f>
        <v>李艳丹</v>
      </c>
      <c r="D1830" s="3" t="s">
        <v>1711</v>
      </c>
    </row>
    <row r="1831" spans="1:4" ht="24.75" customHeight="1">
      <c r="A1831" s="3" t="str">
        <f>"34892021110709440546694"</f>
        <v>34892021110709440546694</v>
      </c>
      <c r="B1831" s="3" t="s">
        <v>428</v>
      </c>
      <c r="C1831" s="3" t="str">
        <f>"李绵翔"</f>
        <v>李绵翔</v>
      </c>
      <c r="D1831" s="3" t="s">
        <v>1712</v>
      </c>
    </row>
    <row r="1832" spans="1:4" ht="24.75" customHeight="1">
      <c r="A1832" s="3" t="str">
        <f>"34892021110709461746695"</f>
        <v>34892021110709461746695</v>
      </c>
      <c r="B1832" s="3" t="s">
        <v>428</v>
      </c>
      <c r="C1832" s="3" t="str">
        <f>"王惠"</f>
        <v>王惠</v>
      </c>
      <c r="D1832" s="3" t="s">
        <v>1713</v>
      </c>
    </row>
    <row r="1833" spans="1:4" ht="24.75" customHeight="1">
      <c r="A1833" s="3" t="str">
        <f>"34892021110709462046696"</f>
        <v>34892021110709462046696</v>
      </c>
      <c r="B1833" s="3" t="s">
        <v>428</v>
      </c>
      <c r="C1833" s="3" t="str">
        <f>"王丹丹"</f>
        <v>王丹丹</v>
      </c>
      <c r="D1833" s="3" t="s">
        <v>1714</v>
      </c>
    </row>
    <row r="1834" spans="1:4" ht="24.75" customHeight="1">
      <c r="A1834" s="3" t="str">
        <f>"34892021110709560846707"</f>
        <v>34892021110709560846707</v>
      </c>
      <c r="B1834" s="3" t="s">
        <v>428</v>
      </c>
      <c r="C1834" s="3" t="str">
        <f>"薛堡之"</f>
        <v>薛堡之</v>
      </c>
      <c r="D1834" s="3" t="s">
        <v>1715</v>
      </c>
    </row>
    <row r="1835" spans="1:4" ht="24.75" customHeight="1">
      <c r="A1835" s="3" t="str">
        <f>"34892021110710003846711"</f>
        <v>34892021110710003846711</v>
      </c>
      <c r="B1835" s="3" t="s">
        <v>428</v>
      </c>
      <c r="C1835" s="3" t="str">
        <f>"王才丰"</f>
        <v>王才丰</v>
      </c>
      <c r="D1835" s="3" t="s">
        <v>1693</v>
      </c>
    </row>
    <row r="1836" spans="1:4" ht="24.75" customHeight="1">
      <c r="A1836" s="3" t="str">
        <f>"34892021110710050246713"</f>
        <v>34892021110710050246713</v>
      </c>
      <c r="B1836" s="3" t="s">
        <v>428</v>
      </c>
      <c r="C1836" s="3" t="str">
        <f>"蔡亲贝"</f>
        <v>蔡亲贝</v>
      </c>
      <c r="D1836" s="3" t="s">
        <v>819</v>
      </c>
    </row>
    <row r="1837" spans="1:4" ht="24.75" customHeight="1">
      <c r="A1837" s="3" t="str">
        <f>"34892021110710332146735"</f>
        <v>34892021110710332146735</v>
      </c>
      <c r="B1837" s="3" t="s">
        <v>428</v>
      </c>
      <c r="C1837" s="3" t="str">
        <f>"吴欣玲"</f>
        <v>吴欣玲</v>
      </c>
      <c r="D1837" s="3" t="s">
        <v>1716</v>
      </c>
    </row>
    <row r="1838" spans="1:4" ht="24.75" customHeight="1">
      <c r="A1838" s="3" t="str">
        <f>"34892021110710413746742"</f>
        <v>34892021110710413746742</v>
      </c>
      <c r="B1838" s="3" t="s">
        <v>428</v>
      </c>
      <c r="C1838" s="3" t="str">
        <f>"林柳君"</f>
        <v>林柳君</v>
      </c>
      <c r="D1838" s="3" t="s">
        <v>1717</v>
      </c>
    </row>
    <row r="1839" spans="1:4" ht="24.75" customHeight="1">
      <c r="A1839" s="3" t="str">
        <f>"34892021110710461246746"</f>
        <v>34892021110710461246746</v>
      </c>
      <c r="B1839" s="3" t="s">
        <v>428</v>
      </c>
      <c r="C1839" s="3" t="str">
        <f>"黎道元"</f>
        <v>黎道元</v>
      </c>
      <c r="D1839" s="3" t="s">
        <v>1718</v>
      </c>
    </row>
    <row r="1840" spans="1:4" ht="24.75" customHeight="1">
      <c r="A1840" s="3" t="str">
        <f>"34892021110710545446751"</f>
        <v>34892021110710545446751</v>
      </c>
      <c r="B1840" s="3" t="s">
        <v>428</v>
      </c>
      <c r="C1840" s="3" t="str">
        <f>"占良涛"</f>
        <v>占良涛</v>
      </c>
      <c r="D1840" s="3" t="s">
        <v>1719</v>
      </c>
    </row>
    <row r="1841" spans="1:4" ht="24.75" customHeight="1">
      <c r="A1841" s="3" t="str">
        <f>"34892021110711045746752"</f>
        <v>34892021110711045746752</v>
      </c>
      <c r="B1841" s="3" t="s">
        <v>428</v>
      </c>
      <c r="C1841" s="3" t="str">
        <f>"王静"</f>
        <v>王静</v>
      </c>
      <c r="D1841" s="3" t="s">
        <v>1720</v>
      </c>
    </row>
    <row r="1842" spans="1:4" ht="24.75" customHeight="1">
      <c r="A1842" s="3" t="str">
        <f>"34892021110711101146755"</f>
        <v>34892021110711101146755</v>
      </c>
      <c r="B1842" s="3" t="s">
        <v>428</v>
      </c>
      <c r="C1842" s="3" t="str">
        <f>"钟小碧"</f>
        <v>钟小碧</v>
      </c>
      <c r="D1842" s="3" t="s">
        <v>1721</v>
      </c>
    </row>
    <row r="1843" spans="1:4" ht="24.75" customHeight="1">
      <c r="A1843" s="3" t="str">
        <f>"34892021110711185946762"</f>
        <v>34892021110711185946762</v>
      </c>
      <c r="B1843" s="3" t="s">
        <v>428</v>
      </c>
      <c r="C1843" s="3" t="str">
        <f>"王良"</f>
        <v>王良</v>
      </c>
      <c r="D1843" s="3" t="s">
        <v>1722</v>
      </c>
    </row>
    <row r="1844" spans="1:4" ht="24.75" customHeight="1">
      <c r="A1844" s="3" t="str">
        <f>"34892021110711221546766"</f>
        <v>34892021110711221546766</v>
      </c>
      <c r="B1844" s="3" t="s">
        <v>428</v>
      </c>
      <c r="C1844" s="3" t="str">
        <f>"黄在羽"</f>
        <v>黄在羽</v>
      </c>
      <c r="D1844" s="3" t="s">
        <v>1723</v>
      </c>
    </row>
    <row r="1845" spans="1:4" ht="24.75" customHeight="1">
      <c r="A1845" s="3" t="str">
        <f>"34892021110711232746769"</f>
        <v>34892021110711232746769</v>
      </c>
      <c r="B1845" s="3" t="s">
        <v>428</v>
      </c>
      <c r="C1845" s="3" t="str">
        <f>"曾焕璧"</f>
        <v>曾焕璧</v>
      </c>
      <c r="D1845" s="3" t="s">
        <v>1724</v>
      </c>
    </row>
    <row r="1846" spans="1:4" ht="24.75" customHeight="1">
      <c r="A1846" s="3" t="str">
        <f>"34892021110711304846772"</f>
        <v>34892021110711304846772</v>
      </c>
      <c r="B1846" s="3" t="s">
        <v>428</v>
      </c>
      <c r="C1846" s="3" t="str">
        <f>"蔡容"</f>
        <v>蔡容</v>
      </c>
      <c r="D1846" s="3" t="s">
        <v>1725</v>
      </c>
    </row>
    <row r="1847" spans="1:4" ht="24.75" customHeight="1">
      <c r="A1847" s="3" t="str">
        <f>"34892021110711351846775"</f>
        <v>34892021110711351846775</v>
      </c>
      <c r="B1847" s="3" t="s">
        <v>428</v>
      </c>
      <c r="C1847" s="3" t="str">
        <f>"郭曦茜"</f>
        <v>郭曦茜</v>
      </c>
      <c r="D1847" s="3" t="s">
        <v>1726</v>
      </c>
    </row>
    <row r="1848" spans="1:4" ht="24.75" customHeight="1">
      <c r="A1848" s="3" t="str">
        <f>"34892021110711353246776"</f>
        <v>34892021110711353246776</v>
      </c>
      <c r="B1848" s="3" t="s">
        <v>428</v>
      </c>
      <c r="C1848" s="3" t="str">
        <f>"蔡妹玲"</f>
        <v>蔡妹玲</v>
      </c>
      <c r="D1848" s="3" t="s">
        <v>1727</v>
      </c>
    </row>
    <row r="1849" spans="1:4" ht="24.75" customHeight="1">
      <c r="A1849" s="3" t="str">
        <f>"34892021110711440746780"</f>
        <v>34892021110711440746780</v>
      </c>
      <c r="B1849" s="3" t="s">
        <v>428</v>
      </c>
      <c r="C1849" s="3" t="str">
        <f>"羊矫燕"</f>
        <v>羊矫燕</v>
      </c>
      <c r="D1849" s="3" t="s">
        <v>1728</v>
      </c>
    </row>
    <row r="1850" spans="1:4" ht="24.75" customHeight="1">
      <c r="A1850" s="3" t="str">
        <f>"34892021110711530346783"</f>
        <v>34892021110711530346783</v>
      </c>
      <c r="B1850" s="3" t="s">
        <v>428</v>
      </c>
      <c r="C1850" s="3" t="str">
        <f>"陈含与"</f>
        <v>陈含与</v>
      </c>
      <c r="D1850" s="3" t="s">
        <v>1729</v>
      </c>
    </row>
    <row r="1851" spans="1:4" ht="24.75" customHeight="1">
      <c r="A1851" s="3" t="str">
        <f>"34892021110712004846787"</f>
        <v>34892021110712004846787</v>
      </c>
      <c r="B1851" s="3" t="s">
        <v>428</v>
      </c>
      <c r="C1851" s="3" t="str">
        <f>"梁禹铭"</f>
        <v>梁禹铭</v>
      </c>
      <c r="D1851" s="3" t="s">
        <v>1730</v>
      </c>
    </row>
    <row r="1852" spans="1:4" ht="24.75" customHeight="1">
      <c r="A1852" s="3" t="str">
        <f>"34892021110712145146793"</f>
        <v>34892021110712145146793</v>
      </c>
      <c r="B1852" s="3" t="s">
        <v>428</v>
      </c>
      <c r="C1852" s="3" t="str">
        <f>"劳兰娇"</f>
        <v>劳兰娇</v>
      </c>
      <c r="D1852" s="3" t="s">
        <v>1731</v>
      </c>
    </row>
    <row r="1853" spans="1:4" ht="24.75" customHeight="1">
      <c r="A1853" s="3" t="str">
        <f>"34892021110712214746796"</f>
        <v>34892021110712214746796</v>
      </c>
      <c r="B1853" s="3" t="s">
        <v>428</v>
      </c>
      <c r="C1853" s="3" t="str">
        <f>"许敏"</f>
        <v>许敏</v>
      </c>
      <c r="D1853" s="3" t="s">
        <v>954</v>
      </c>
    </row>
    <row r="1854" spans="1:4" ht="24.75" customHeight="1">
      <c r="A1854" s="3" t="str">
        <f>"34892021110712260146800"</f>
        <v>34892021110712260146800</v>
      </c>
      <c r="B1854" s="3" t="s">
        <v>428</v>
      </c>
      <c r="C1854" s="3" t="str">
        <f>"邱勋和"</f>
        <v>邱勋和</v>
      </c>
      <c r="D1854" s="3" t="s">
        <v>1732</v>
      </c>
    </row>
    <row r="1855" spans="1:4" ht="24.75" customHeight="1">
      <c r="A1855" s="3" t="str">
        <f>"34892021110712420746807"</f>
        <v>34892021110712420746807</v>
      </c>
      <c r="B1855" s="3" t="s">
        <v>428</v>
      </c>
      <c r="C1855" s="3" t="str">
        <f>"蔡小朝"</f>
        <v>蔡小朝</v>
      </c>
      <c r="D1855" s="3" t="s">
        <v>1733</v>
      </c>
    </row>
    <row r="1856" spans="1:4" ht="24.75" customHeight="1">
      <c r="A1856" s="3" t="str">
        <f>"34892021110712565746815"</f>
        <v>34892021110712565746815</v>
      </c>
      <c r="B1856" s="3" t="s">
        <v>428</v>
      </c>
      <c r="C1856" s="3" t="str">
        <f>"曾小云"</f>
        <v>曾小云</v>
      </c>
      <c r="D1856" s="3" t="s">
        <v>1734</v>
      </c>
    </row>
    <row r="1857" spans="1:4" ht="24.75" customHeight="1">
      <c r="A1857" s="3" t="str">
        <f>"34892021110713060246822"</f>
        <v>34892021110713060246822</v>
      </c>
      <c r="B1857" s="3" t="s">
        <v>428</v>
      </c>
      <c r="C1857" s="3" t="str">
        <f>"彭苇"</f>
        <v>彭苇</v>
      </c>
      <c r="D1857" s="3" t="s">
        <v>1735</v>
      </c>
    </row>
    <row r="1858" spans="1:4" ht="24.75" customHeight="1">
      <c r="A1858" s="3" t="str">
        <f>"34892021110713071146825"</f>
        <v>34892021110713071146825</v>
      </c>
      <c r="B1858" s="3" t="s">
        <v>428</v>
      </c>
      <c r="C1858" s="3" t="str">
        <f>"林梦珍"</f>
        <v>林梦珍</v>
      </c>
      <c r="D1858" s="3" t="s">
        <v>1736</v>
      </c>
    </row>
    <row r="1859" spans="1:4" ht="24.75" customHeight="1">
      <c r="A1859" s="3" t="str">
        <f>"34892021110713205246830"</f>
        <v>34892021110713205246830</v>
      </c>
      <c r="B1859" s="3" t="s">
        <v>428</v>
      </c>
      <c r="C1859" s="3" t="str">
        <f>"林梦娇"</f>
        <v>林梦娇</v>
      </c>
      <c r="D1859" s="3" t="s">
        <v>1737</v>
      </c>
    </row>
    <row r="1860" spans="1:4" ht="24.75" customHeight="1">
      <c r="A1860" s="3" t="str">
        <f>"34892021110714024046851"</f>
        <v>34892021110714024046851</v>
      </c>
      <c r="B1860" s="3" t="s">
        <v>428</v>
      </c>
      <c r="C1860" s="3" t="str">
        <f>"陈怡婷"</f>
        <v>陈怡婷</v>
      </c>
      <c r="D1860" s="3" t="s">
        <v>1738</v>
      </c>
    </row>
    <row r="1861" spans="1:4" ht="24.75" customHeight="1">
      <c r="A1861" s="3" t="str">
        <f>"34892021110714114446858"</f>
        <v>34892021110714114446858</v>
      </c>
      <c r="B1861" s="3" t="s">
        <v>428</v>
      </c>
      <c r="C1861" s="3" t="str">
        <f>"李静"</f>
        <v>李静</v>
      </c>
      <c r="D1861" s="3" t="s">
        <v>1739</v>
      </c>
    </row>
    <row r="1862" spans="1:4" ht="24.75" customHeight="1">
      <c r="A1862" s="3" t="str">
        <f>"34892021110714243646868"</f>
        <v>34892021110714243646868</v>
      </c>
      <c r="B1862" s="3" t="s">
        <v>428</v>
      </c>
      <c r="C1862" s="3" t="str">
        <f>"莫光栋"</f>
        <v>莫光栋</v>
      </c>
      <c r="D1862" s="3" t="s">
        <v>1740</v>
      </c>
    </row>
    <row r="1863" spans="1:4" ht="24.75" customHeight="1">
      <c r="A1863" s="3" t="str">
        <f>"34892021110714393646873"</f>
        <v>34892021110714393646873</v>
      </c>
      <c r="B1863" s="3" t="s">
        <v>428</v>
      </c>
      <c r="C1863" s="3" t="str">
        <f>"时若飞"</f>
        <v>时若飞</v>
      </c>
      <c r="D1863" s="3" t="s">
        <v>1741</v>
      </c>
    </row>
    <row r="1864" spans="1:4" ht="24.75" customHeight="1">
      <c r="A1864" s="3" t="str">
        <f>"34892021110714465046877"</f>
        <v>34892021110714465046877</v>
      </c>
      <c r="B1864" s="3" t="s">
        <v>428</v>
      </c>
      <c r="C1864" s="3" t="str">
        <f>"李炳霖"</f>
        <v>李炳霖</v>
      </c>
      <c r="D1864" s="3" t="s">
        <v>215</v>
      </c>
    </row>
    <row r="1865" spans="1:4" ht="24.75" customHeight="1">
      <c r="A1865" s="3" t="str">
        <f>"34892021110714544346881"</f>
        <v>34892021110714544346881</v>
      </c>
      <c r="B1865" s="3" t="s">
        <v>428</v>
      </c>
      <c r="C1865" s="3" t="str">
        <f>"王传越"</f>
        <v>王传越</v>
      </c>
      <c r="D1865" s="3" t="s">
        <v>1742</v>
      </c>
    </row>
    <row r="1866" spans="1:4" ht="24.75" customHeight="1">
      <c r="A1866" s="3" t="str">
        <f>"34892021110714585546882"</f>
        <v>34892021110714585546882</v>
      </c>
      <c r="B1866" s="3" t="s">
        <v>428</v>
      </c>
      <c r="C1866" s="3" t="str">
        <f>"伍芹瑶"</f>
        <v>伍芹瑶</v>
      </c>
      <c r="D1866" s="3" t="s">
        <v>1743</v>
      </c>
    </row>
    <row r="1867" spans="1:4" ht="24.75" customHeight="1">
      <c r="A1867" s="3" t="str">
        <f>"34892021110715045546888"</f>
        <v>34892021110715045546888</v>
      </c>
      <c r="B1867" s="3" t="s">
        <v>428</v>
      </c>
      <c r="C1867" s="3" t="str">
        <f>"陈弘恒"</f>
        <v>陈弘恒</v>
      </c>
      <c r="D1867" s="3" t="s">
        <v>1744</v>
      </c>
    </row>
    <row r="1868" spans="1:4" ht="24.75" customHeight="1">
      <c r="A1868" s="3" t="str">
        <f>"34892021110715073446890"</f>
        <v>34892021110715073446890</v>
      </c>
      <c r="B1868" s="3" t="s">
        <v>428</v>
      </c>
      <c r="C1868" s="3" t="str">
        <f>"杨铠菱"</f>
        <v>杨铠菱</v>
      </c>
      <c r="D1868" s="3" t="s">
        <v>1745</v>
      </c>
    </row>
    <row r="1869" spans="1:4" ht="24.75" customHeight="1">
      <c r="A1869" s="3" t="str">
        <f>"34892021110715144946895"</f>
        <v>34892021110715144946895</v>
      </c>
      <c r="B1869" s="3" t="s">
        <v>428</v>
      </c>
      <c r="C1869" s="3" t="str">
        <f>"白雅美"</f>
        <v>白雅美</v>
      </c>
      <c r="D1869" s="3" t="s">
        <v>1746</v>
      </c>
    </row>
    <row r="1870" spans="1:4" ht="24.75" customHeight="1">
      <c r="A1870" s="3" t="str">
        <f>"34892021110715220846901"</f>
        <v>34892021110715220846901</v>
      </c>
      <c r="B1870" s="3" t="s">
        <v>428</v>
      </c>
      <c r="C1870" s="3" t="str">
        <f>"廖春妹"</f>
        <v>廖春妹</v>
      </c>
      <c r="D1870" s="3" t="s">
        <v>1747</v>
      </c>
    </row>
    <row r="1871" spans="1:4" ht="24.75" customHeight="1">
      <c r="A1871" s="3" t="str">
        <f>"34892021110715281046903"</f>
        <v>34892021110715281046903</v>
      </c>
      <c r="B1871" s="3" t="s">
        <v>428</v>
      </c>
      <c r="C1871" s="3" t="str">
        <f>"吴翠女"</f>
        <v>吴翠女</v>
      </c>
      <c r="D1871" s="3" t="s">
        <v>1748</v>
      </c>
    </row>
    <row r="1872" spans="1:4" ht="24.75" customHeight="1">
      <c r="A1872" s="3" t="str">
        <f>"34892021110715393146912"</f>
        <v>34892021110715393146912</v>
      </c>
      <c r="B1872" s="3" t="s">
        <v>428</v>
      </c>
      <c r="C1872" s="3" t="str">
        <f>"游琳"</f>
        <v>游琳</v>
      </c>
      <c r="D1872" s="3" t="s">
        <v>1749</v>
      </c>
    </row>
    <row r="1873" spans="1:4" ht="24.75" customHeight="1">
      <c r="A1873" s="3" t="str">
        <f>"34892021110715414946913"</f>
        <v>34892021110715414946913</v>
      </c>
      <c r="B1873" s="3" t="s">
        <v>428</v>
      </c>
      <c r="C1873" s="3" t="str">
        <f>"王川铸"</f>
        <v>王川铸</v>
      </c>
      <c r="D1873" s="3" t="s">
        <v>1750</v>
      </c>
    </row>
    <row r="1874" spans="1:4" ht="24.75" customHeight="1">
      <c r="A1874" s="3" t="str">
        <f>"34892021110715495746918"</f>
        <v>34892021110715495746918</v>
      </c>
      <c r="B1874" s="3" t="s">
        <v>428</v>
      </c>
      <c r="C1874" s="3" t="str">
        <f>"陈经之"</f>
        <v>陈经之</v>
      </c>
      <c r="D1874" s="3" t="s">
        <v>1751</v>
      </c>
    </row>
    <row r="1875" spans="1:4" ht="24.75" customHeight="1">
      <c r="A1875" s="3" t="str">
        <f>"34892021110716111146928"</f>
        <v>34892021110716111146928</v>
      </c>
      <c r="B1875" s="3" t="s">
        <v>428</v>
      </c>
      <c r="C1875" s="3" t="str">
        <f>"苏彩兰"</f>
        <v>苏彩兰</v>
      </c>
      <c r="D1875" s="3" t="s">
        <v>1752</v>
      </c>
    </row>
    <row r="1876" spans="1:4" ht="24.75" customHeight="1">
      <c r="A1876" s="3" t="str">
        <f>"34892021110716191646934"</f>
        <v>34892021110716191646934</v>
      </c>
      <c r="B1876" s="3" t="s">
        <v>428</v>
      </c>
      <c r="C1876" s="3" t="str">
        <f>"沈兰"</f>
        <v>沈兰</v>
      </c>
      <c r="D1876" s="3" t="s">
        <v>1753</v>
      </c>
    </row>
    <row r="1877" spans="1:4" ht="24.75" customHeight="1">
      <c r="A1877" s="3" t="str">
        <f>"34892021110716223046935"</f>
        <v>34892021110716223046935</v>
      </c>
      <c r="B1877" s="3" t="s">
        <v>428</v>
      </c>
      <c r="C1877" s="3" t="str">
        <f>"吴淑聪"</f>
        <v>吴淑聪</v>
      </c>
      <c r="D1877" s="3" t="s">
        <v>1754</v>
      </c>
    </row>
    <row r="1878" spans="1:4" ht="24.75" customHeight="1">
      <c r="A1878" s="3" t="str">
        <f>"34892021110716230946936"</f>
        <v>34892021110716230946936</v>
      </c>
      <c r="B1878" s="3" t="s">
        <v>428</v>
      </c>
      <c r="C1878" s="3" t="str">
        <f>"黄振斌"</f>
        <v>黄振斌</v>
      </c>
      <c r="D1878" s="3" t="s">
        <v>1755</v>
      </c>
    </row>
    <row r="1879" spans="1:4" ht="24.75" customHeight="1">
      <c r="A1879" s="3" t="str">
        <f>"34892021110716273646938"</f>
        <v>34892021110716273646938</v>
      </c>
      <c r="B1879" s="3" t="s">
        <v>428</v>
      </c>
      <c r="C1879" s="3" t="str">
        <f>"曹幸"</f>
        <v>曹幸</v>
      </c>
      <c r="D1879" s="3" t="s">
        <v>1756</v>
      </c>
    </row>
    <row r="1880" spans="1:4" ht="24.75" customHeight="1">
      <c r="A1880" s="3" t="str">
        <f>"34892021110716275346940"</f>
        <v>34892021110716275346940</v>
      </c>
      <c r="B1880" s="3" t="s">
        <v>428</v>
      </c>
      <c r="C1880" s="3" t="str">
        <f>"陈建湖"</f>
        <v>陈建湖</v>
      </c>
      <c r="D1880" s="3" t="s">
        <v>1757</v>
      </c>
    </row>
    <row r="1881" spans="1:4" ht="24.75" customHeight="1">
      <c r="A1881" s="3" t="str">
        <f>"34892021110716350746950"</f>
        <v>34892021110716350746950</v>
      </c>
      <c r="B1881" s="3" t="s">
        <v>428</v>
      </c>
      <c r="C1881" s="3" t="str">
        <f>"钟敏秀"</f>
        <v>钟敏秀</v>
      </c>
      <c r="D1881" s="3" t="s">
        <v>1758</v>
      </c>
    </row>
    <row r="1882" spans="1:4" ht="24.75" customHeight="1">
      <c r="A1882" s="3" t="str">
        <f>"34892021110716351446952"</f>
        <v>34892021110716351446952</v>
      </c>
      <c r="B1882" s="3" t="s">
        <v>428</v>
      </c>
      <c r="C1882" s="3" t="str">
        <f>"邢涛麟"</f>
        <v>邢涛麟</v>
      </c>
      <c r="D1882" s="3" t="s">
        <v>1759</v>
      </c>
    </row>
    <row r="1883" spans="1:4" ht="24.75" customHeight="1">
      <c r="A1883" s="3" t="str">
        <f>"34892021110716494246956"</f>
        <v>34892021110716494246956</v>
      </c>
      <c r="B1883" s="3" t="s">
        <v>428</v>
      </c>
      <c r="C1883" s="3" t="str">
        <f>"张华"</f>
        <v>张华</v>
      </c>
      <c r="D1883" s="3" t="s">
        <v>1760</v>
      </c>
    </row>
    <row r="1884" spans="1:4" ht="24.75" customHeight="1">
      <c r="A1884" s="3" t="str">
        <f>"34892021110716564546960"</f>
        <v>34892021110716564546960</v>
      </c>
      <c r="B1884" s="3" t="s">
        <v>428</v>
      </c>
      <c r="C1884" s="3" t="str">
        <f>"许馨月"</f>
        <v>许馨月</v>
      </c>
      <c r="D1884" s="3" t="s">
        <v>1761</v>
      </c>
    </row>
    <row r="1885" spans="1:4" ht="24.75" customHeight="1">
      <c r="A1885" s="3" t="str">
        <f>"34892021110717041946966"</f>
        <v>34892021110717041946966</v>
      </c>
      <c r="B1885" s="3" t="s">
        <v>428</v>
      </c>
      <c r="C1885" s="3" t="str">
        <f>"张玉晨"</f>
        <v>张玉晨</v>
      </c>
      <c r="D1885" s="3" t="s">
        <v>1762</v>
      </c>
    </row>
    <row r="1886" spans="1:4" ht="24.75" customHeight="1">
      <c r="A1886" s="3" t="str">
        <f>"34892021110717190346976"</f>
        <v>34892021110717190346976</v>
      </c>
      <c r="B1886" s="3" t="s">
        <v>428</v>
      </c>
      <c r="C1886" s="3" t="str">
        <f>"任丽双"</f>
        <v>任丽双</v>
      </c>
      <c r="D1886" s="3" t="s">
        <v>1763</v>
      </c>
    </row>
    <row r="1887" spans="1:4" ht="24.75" customHeight="1">
      <c r="A1887" s="3" t="str">
        <f>"34892021110717200446979"</f>
        <v>34892021110717200446979</v>
      </c>
      <c r="B1887" s="3" t="s">
        <v>428</v>
      </c>
      <c r="C1887" s="3" t="str">
        <f>"吴姑来"</f>
        <v>吴姑来</v>
      </c>
      <c r="D1887" s="3" t="s">
        <v>1764</v>
      </c>
    </row>
    <row r="1888" spans="1:4" ht="24.75" customHeight="1">
      <c r="A1888" s="3" t="str">
        <f>"34892021110717281546983"</f>
        <v>34892021110717281546983</v>
      </c>
      <c r="B1888" s="3" t="s">
        <v>428</v>
      </c>
      <c r="C1888" s="3" t="str">
        <f>"陈日新"</f>
        <v>陈日新</v>
      </c>
      <c r="D1888" s="3" t="s">
        <v>1765</v>
      </c>
    </row>
    <row r="1889" spans="1:4" ht="24.75" customHeight="1">
      <c r="A1889" s="3" t="str">
        <f>"34892021110717451546995"</f>
        <v>34892021110717451546995</v>
      </c>
      <c r="B1889" s="3" t="s">
        <v>428</v>
      </c>
      <c r="C1889" s="3" t="str">
        <f>"黄培超"</f>
        <v>黄培超</v>
      </c>
      <c r="D1889" s="3" t="s">
        <v>1766</v>
      </c>
    </row>
    <row r="1890" spans="1:4" ht="24.75" customHeight="1">
      <c r="A1890" s="3" t="str">
        <f>"34892021110717460746996"</f>
        <v>34892021110717460746996</v>
      </c>
      <c r="B1890" s="3" t="s">
        <v>428</v>
      </c>
      <c r="C1890" s="3" t="str">
        <f>"许达钊"</f>
        <v>许达钊</v>
      </c>
      <c r="D1890" s="3" t="s">
        <v>1767</v>
      </c>
    </row>
    <row r="1891" spans="1:4" ht="24.75" customHeight="1">
      <c r="A1891" s="3" t="str">
        <f>"34892021110717494546997"</f>
        <v>34892021110717494546997</v>
      </c>
      <c r="B1891" s="3" t="s">
        <v>428</v>
      </c>
      <c r="C1891" s="3" t="str">
        <f>"刘雪莹"</f>
        <v>刘雪莹</v>
      </c>
      <c r="D1891" s="3" t="s">
        <v>1768</v>
      </c>
    </row>
    <row r="1892" spans="1:4" ht="24.75" customHeight="1">
      <c r="A1892" s="3" t="str">
        <f>"34892021110717535646999"</f>
        <v>34892021110717535646999</v>
      </c>
      <c r="B1892" s="3" t="s">
        <v>428</v>
      </c>
      <c r="C1892" s="3" t="str">
        <f>"符少文"</f>
        <v>符少文</v>
      </c>
      <c r="D1892" s="3" t="s">
        <v>1769</v>
      </c>
    </row>
    <row r="1893" spans="1:4" ht="24.75" customHeight="1">
      <c r="A1893" s="3" t="str">
        <f>"34892021110717544847000"</f>
        <v>34892021110717544847000</v>
      </c>
      <c r="B1893" s="3" t="s">
        <v>428</v>
      </c>
      <c r="C1893" s="3" t="str">
        <f>"冯升"</f>
        <v>冯升</v>
      </c>
      <c r="D1893" s="3" t="s">
        <v>1770</v>
      </c>
    </row>
    <row r="1894" spans="1:4" ht="24.75" customHeight="1">
      <c r="A1894" s="3" t="str">
        <f>"34892021110717550247001"</f>
        <v>34892021110717550247001</v>
      </c>
      <c r="B1894" s="3" t="s">
        <v>428</v>
      </c>
      <c r="C1894" s="3" t="str">
        <f>"李佳凝"</f>
        <v>李佳凝</v>
      </c>
      <c r="D1894" s="3" t="s">
        <v>1771</v>
      </c>
    </row>
    <row r="1895" spans="1:4" ht="24.75" customHeight="1">
      <c r="A1895" s="3" t="str">
        <f>"34892021110718075047012"</f>
        <v>34892021110718075047012</v>
      </c>
      <c r="B1895" s="3" t="s">
        <v>428</v>
      </c>
      <c r="C1895" s="3" t="str">
        <f>"王丹"</f>
        <v>王丹</v>
      </c>
      <c r="D1895" s="3" t="s">
        <v>1772</v>
      </c>
    </row>
    <row r="1896" spans="1:4" ht="24.75" customHeight="1">
      <c r="A1896" s="3" t="str">
        <f>"34892021110718160047017"</f>
        <v>34892021110718160047017</v>
      </c>
      <c r="B1896" s="3" t="s">
        <v>428</v>
      </c>
      <c r="C1896" s="3" t="str">
        <f>"李坤茂"</f>
        <v>李坤茂</v>
      </c>
      <c r="D1896" s="3" t="s">
        <v>1773</v>
      </c>
    </row>
    <row r="1897" spans="1:4" ht="24.75" customHeight="1">
      <c r="A1897" s="3" t="str">
        <f>"34892021110718245847021"</f>
        <v>34892021110718245847021</v>
      </c>
      <c r="B1897" s="3" t="s">
        <v>428</v>
      </c>
      <c r="C1897" s="3" t="str">
        <f>"吕海玲"</f>
        <v>吕海玲</v>
      </c>
      <c r="D1897" s="3" t="s">
        <v>129</v>
      </c>
    </row>
    <row r="1898" spans="1:4" ht="24.75" customHeight="1">
      <c r="A1898" s="3" t="str">
        <f>"34892021110718301947024"</f>
        <v>34892021110718301947024</v>
      </c>
      <c r="B1898" s="3" t="s">
        <v>428</v>
      </c>
      <c r="C1898" s="3" t="str">
        <f>"黄进文"</f>
        <v>黄进文</v>
      </c>
      <c r="D1898" s="3" t="s">
        <v>1774</v>
      </c>
    </row>
    <row r="1899" spans="1:4" ht="24.75" customHeight="1">
      <c r="A1899" s="3" t="str">
        <f>"34892021110718451747031"</f>
        <v>34892021110718451747031</v>
      </c>
      <c r="B1899" s="3" t="s">
        <v>428</v>
      </c>
      <c r="C1899" s="3" t="str">
        <f>"吴浩灵"</f>
        <v>吴浩灵</v>
      </c>
      <c r="D1899" s="3" t="s">
        <v>1775</v>
      </c>
    </row>
    <row r="1900" spans="1:4" ht="24.75" customHeight="1">
      <c r="A1900" s="3" t="str">
        <f>"34892021110718510247034"</f>
        <v>34892021110718510247034</v>
      </c>
      <c r="B1900" s="3" t="s">
        <v>428</v>
      </c>
      <c r="C1900" s="3" t="str">
        <f>"王超"</f>
        <v>王超</v>
      </c>
      <c r="D1900" s="3" t="s">
        <v>1776</v>
      </c>
    </row>
    <row r="1901" spans="1:4" ht="24.75" customHeight="1">
      <c r="A1901" s="3" t="str">
        <f>"34892021110718535147035"</f>
        <v>34892021110718535147035</v>
      </c>
      <c r="B1901" s="3" t="s">
        <v>428</v>
      </c>
      <c r="C1901" s="3" t="str">
        <f>"沈传扬"</f>
        <v>沈传扬</v>
      </c>
      <c r="D1901" s="3" t="s">
        <v>1528</v>
      </c>
    </row>
    <row r="1902" spans="1:4" ht="24.75" customHeight="1">
      <c r="A1902" s="3" t="str">
        <f>"34892021110719224847049"</f>
        <v>34892021110719224847049</v>
      </c>
      <c r="B1902" s="3" t="s">
        <v>428</v>
      </c>
      <c r="C1902" s="3" t="str">
        <f>"颜莲莲"</f>
        <v>颜莲莲</v>
      </c>
      <c r="D1902" s="3" t="s">
        <v>1777</v>
      </c>
    </row>
    <row r="1903" spans="1:4" ht="24.75" customHeight="1">
      <c r="A1903" s="3" t="str">
        <f>"34892021110719325547052"</f>
        <v>34892021110719325547052</v>
      </c>
      <c r="B1903" s="3" t="s">
        <v>428</v>
      </c>
      <c r="C1903" s="3" t="str">
        <f>"王元乾"</f>
        <v>王元乾</v>
      </c>
      <c r="D1903" s="3" t="s">
        <v>1778</v>
      </c>
    </row>
    <row r="1904" spans="1:4" ht="24.75" customHeight="1">
      <c r="A1904" s="3" t="str">
        <f>"34892021110719361847055"</f>
        <v>34892021110719361847055</v>
      </c>
      <c r="B1904" s="3" t="s">
        <v>428</v>
      </c>
      <c r="C1904" s="3" t="str">
        <f>"朱定丽"</f>
        <v>朱定丽</v>
      </c>
      <c r="D1904" s="3" t="s">
        <v>1218</v>
      </c>
    </row>
    <row r="1905" spans="1:4" ht="24.75" customHeight="1">
      <c r="A1905" s="3" t="str">
        <f>"34892021110719371647057"</f>
        <v>34892021110719371647057</v>
      </c>
      <c r="B1905" s="3" t="s">
        <v>428</v>
      </c>
      <c r="C1905" s="3" t="str">
        <f>"杜艳茹"</f>
        <v>杜艳茹</v>
      </c>
      <c r="D1905" s="3" t="s">
        <v>274</v>
      </c>
    </row>
    <row r="1906" spans="1:4" ht="24.75" customHeight="1">
      <c r="A1906" s="3" t="str">
        <f>"34892021110719472247062"</f>
        <v>34892021110719472247062</v>
      </c>
      <c r="B1906" s="3" t="s">
        <v>428</v>
      </c>
      <c r="C1906" s="3" t="str">
        <f>"何舜萍"</f>
        <v>何舜萍</v>
      </c>
      <c r="D1906" s="3" t="s">
        <v>1779</v>
      </c>
    </row>
    <row r="1907" spans="1:4" ht="24.75" customHeight="1">
      <c r="A1907" s="3" t="str">
        <f>"34892021110719534647071"</f>
        <v>34892021110719534647071</v>
      </c>
      <c r="B1907" s="3" t="s">
        <v>428</v>
      </c>
      <c r="C1907" s="3" t="str">
        <f>"谭娜"</f>
        <v>谭娜</v>
      </c>
      <c r="D1907" s="3" t="s">
        <v>1780</v>
      </c>
    </row>
    <row r="1908" spans="1:4" ht="24.75" customHeight="1">
      <c r="A1908" s="3" t="str">
        <f>"34892021110720092847078"</f>
        <v>34892021110720092847078</v>
      </c>
      <c r="B1908" s="3" t="s">
        <v>428</v>
      </c>
      <c r="C1908" s="3" t="str">
        <f>"吴婷曼"</f>
        <v>吴婷曼</v>
      </c>
      <c r="D1908" s="3" t="s">
        <v>1781</v>
      </c>
    </row>
    <row r="1909" spans="1:4" ht="24.75" customHeight="1">
      <c r="A1909" s="3" t="str">
        <f>"34892021110720111947080"</f>
        <v>34892021110720111947080</v>
      </c>
      <c r="B1909" s="3" t="s">
        <v>428</v>
      </c>
      <c r="C1909" s="3" t="str">
        <f>"林晓凤"</f>
        <v>林晓凤</v>
      </c>
      <c r="D1909" s="3" t="s">
        <v>1782</v>
      </c>
    </row>
    <row r="1910" spans="1:4" ht="24.75" customHeight="1">
      <c r="A1910" s="3" t="str">
        <f>"34892021110720121347082"</f>
        <v>34892021110720121347082</v>
      </c>
      <c r="B1910" s="3" t="s">
        <v>428</v>
      </c>
      <c r="C1910" s="3" t="str">
        <f>"王进琼"</f>
        <v>王进琼</v>
      </c>
      <c r="D1910" s="3" t="s">
        <v>1783</v>
      </c>
    </row>
    <row r="1911" spans="1:4" ht="24.75" customHeight="1">
      <c r="A1911" s="3" t="str">
        <f>"34892021110720341247094"</f>
        <v>34892021110720341247094</v>
      </c>
      <c r="B1911" s="3" t="s">
        <v>428</v>
      </c>
      <c r="C1911" s="3" t="str">
        <f>"钟大贻"</f>
        <v>钟大贻</v>
      </c>
      <c r="D1911" s="3" t="s">
        <v>1784</v>
      </c>
    </row>
    <row r="1912" spans="1:4" ht="24.75" customHeight="1">
      <c r="A1912" s="3" t="str">
        <f>"34892021110720395247098"</f>
        <v>34892021110720395247098</v>
      </c>
      <c r="B1912" s="3" t="s">
        <v>428</v>
      </c>
      <c r="C1912" s="3" t="str">
        <f>"符修鑫"</f>
        <v>符修鑫</v>
      </c>
      <c r="D1912" s="3" t="s">
        <v>163</v>
      </c>
    </row>
    <row r="1913" spans="1:4" ht="24.75" customHeight="1">
      <c r="A1913" s="3" t="str">
        <f>"34892021110720413347099"</f>
        <v>34892021110720413347099</v>
      </c>
      <c r="B1913" s="3" t="s">
        <v>428</v>
      </c>
      <c r="C1913" s="3" t="str">
        <f>"吴爽"</f>
        <v>吴爽</v>
      </c>
      <c r="D1913" s="3" t="s">
        <v>162</v>
      </c>
    </row>
    <row r="1914" spans="1:4" ht="24.75" customHeight="1">
      <c r="A1914" s="3" t="str">
        <f>"34892021110720452747101"</f>
        <v>34892021110720452747101</v>
      </c>
      <c r="B1914" s="3" t="s">
        <v>428</v>
      </c>
      <c r="C1914" s="3" t="str">
        <f>"王祺定"</f>
        <v>王祺定</v>
      </c>
      <c r="D1914" s="3" t="s">
        <v>1785</v>
      </c>
    </row>
    <row r="1915" spans="1:4" ht="24.75" customHeight="1">
      <c r="A1915" s="3" t="str">
        <f>"34892021110721020547111"</f>
        <v>34892021110721020547111</v>
      </c>
      <c r="B1915" s="3" t="s">
        <v>428</v>
      </c>
      <c r="C1915" s="3" t="str">
        <f>"刘裕斐"</f>
        <v>刘裕斐</v>
      </c>
      <c r="D1915" s="3" t="s">
        <v>1786</v>
      </c>
    </row>
    <row r="1916" spans="1:4" ht="24.75" customHeight="1">
      <c r="A1916" s="3" t="str">
        <f>"34892021110721021947112"</f>
        <v>34892021110721021947112</v>
      </c>
      <c r="B1916" s="3" t="s">
        <v>428</v>
      </c>
      <c r="C1916" s="3" t="str">
        <f>"林云阳"</f>
        <v>林云阳</v>
      </c>
      <c r="D1916" s="3" t="s">
        <v>1787</v>
      </c>
    </row>
    <row r="1917" spans="1:4" ht="24.75" customHeight="1">
      <c r="A1917" s="3" t="str">
        <f>"34892021110721033347113"</f>
        <v>34892021110721033347113</v>
      </c>
      <c r="B1917" s="3" t="s">
        <v>428</v>
      </c>
      <c r="C1917" s="3" t="str">
        <f>"朱邓彤欣"</f>
        <v>朱邓彤欣</v>
      </c>
      <c r="D1917" s="3" t="s">
        <v>1788</v>
      </c>
    </row>
    <row r="1918" spans="1:4" ht="24.75" customHeight="1">
      <c r="A1918" s="3" t="str">
        <f>"34892021110721053947114"</f>
        <v>34892021110721053947114</v>
      </c>
      <c r="B1918" s="3" t="s">
        <v>428</v>
      </c>
      <c r="C1918" s="3" t="str">
        <f>"唐开文"</f>
        <v>唐开文</v>
      </c>
      <c r="D1918" s="3" t="s">
        <v>1789</v>
      </c>
    </row>
    <row r="1919" spans="1:4" ht="24.75" customHeight="1">
      <c r="A1919" s="3" t="str">
        <f>"34892021110721140847120"</f>
        <v>34892021110721140847120</v>
      </c>
      <c r="B1919" s="3" t="s">
        <v>428</v>
      </c>
      <c r="C1919" s="3" t="str">
        <f>"王俞顺"</f>
        <v>王俞顺</v>
      </c>
      <c r="D1919" s="3" t="s">
        <v>1790</v>
      </c>
    </row>
    <row r="1920" spans="1:4" ht="24.75" customHeight="1">
      <c r="A1920" s="3" t="str">
        <f>"34892021110721154847123"</f>
        <v>34892021110721154847123</v>
      </c>
      <c r="B1920" s="3" t="s">
        <v>428</v>
      </c>
      <c r="C1920" s="3" t="str">
        <f>"李秀弦"</f>
        <v>李秀弦</v>
      </c>
      <c r="D1920" s="3" t="s">
        <v>1791</v>
      </c>
    </row>
    <row r="1921" spans="1:4" ht="24.75" customHeight="1">
      <c r="A1921" s="3" t="str">
        <f>"34892021110721160747124"</f>
        <v>34892021110721160747124</v>
      </c>
      <c r="B1921" s="3" t="s">
        <v>428</v>
      </c>
      <c r="C1921" s="3" t="str">
        <f>"傅圆圆"</f>
        <v>傅圆圆</v>
      </c>
      <c r="D1921" s="3" t="s">
        <v>22</v>
      </c>
    </row>
    <row r="1922" spans="1:4" ht="24.75" customHeight="1">
      <c r="A1922" s="3" t="str">
        <f>"34892021110721190347125"</f>
        <v>34892021110721190347125</v>
      </c>
      <c r="B1922" s="3" t="s">
        <v>428</v>
      </c>
      <c r="C1922" s="3" t="str">
        <f>"熊雨弦"</f>
        <v>熊雨弦</v>
      </c>
      <c r="D1922" s="3" t="s">
        <v>1792</v>
      </c>
    </row>
    <row r="1923" spans="1:4" ht="24.75" customHeight="1">
      <c r="A1923" s="3" t="str">
        <f>"34892021110721210747127"</f>
        <v>34892021110721210747127</v>
      </c>
      <c r="B1923" s="3" t="s">
        <v>428</v>
      </c>
      <c r="C1923" s="3" t="str">
        <f>"吴佳佳"</f>
        <v>吴佳佳</v>
      </c>
      <c r="D1923" s="3" t="s">
        <v>1793</v>
      </c>
    </row>
    <row r="1924" spans="1:4" ht="24.75" customHeight="1">
      <c r="A1924" s="3" t="str">
        <f>"34892021110721233947131"</f>
        <v>34892021110721233947131</v>
      </c>
      <c r="B1924" s="3" t="s">
        <v>428</v>
      </c>
      <c r="C1924" s="3" t="str">
        <f>"罗崇菲"</f>
        <v>罗崇菲</v>
      </c>
      <c r="D1924" s="3" t="s">
        <v>1794</v>
      </c>
    </row>
    <row r="1925" spans="1:4" ht="24.75" customHeight="1">
      <c r="A1925" s="3" t="str">
        <f>"34892021110721274247135"</f>
        <v>34892021110721274247135</v>
      </c>
      <c r="B1925" s="3" t="s">
        <v>428</v>
      </c>
      <c r="C1925" s="3" t="str">
        <f>"黄志亮"</f>
        <v>黄志亮</v>
      </c>
      <c r="D1925" s="3" t="s">
        <v>1795</v>
      </c>
    </row>
    <row r="1926" spans="1:4" ht="24.75" customHeight="1">
      <c r="A1926" s="3" t="str">
        <f>"34892021110721335747140"</f>
        <v>34892021110721335747140</v>
      </c>
      <c r="B1926" s="3" t="s">
        <v>428</v>
      </c>
      <c r="C1926" s="3" t="str">
        <f>"薛春花"</f>
        <v>薛春花</v>
      </c>
      <c r="D1926" s="3" t="s">
        <v>1796</v>
      </c>
    </row>
    <row r="1927" spans="1:4" ht="24.75" customHeight="1">
      <c r="A1927" s="3" t="str">
        <f>"34892021110721402347144"</f>
        <v>34892021110721402347144</v>
      </c>
      <c r="B1927" s="3" t="s">
        <v>428</v>
      </c>
      <c r="C1927" s="3" t="str">
        <f>"方冬明"</f>
        <v>方冬明</v>
      </c>
      <c r="D1927" s="3" t="s">
        <v>1797</v>
      </c>
    </row>
    <row r="1928" spans="1:4" ht="24.75" customHeight="1">
      <c r="A1928" s="3" t="str">
        <f>"34892021110721552447156"</f>
        <v>34892021110721552447156</v>
      </c>
      <c r="B1928" s="3" t="s">
        <v>428</v>
      </c>
      <c r="C1928" s="3" t="str">
        <f>"林雪曼"</f>
        <v>林雪曼</v>
      </c>
      <c r="D1928" s="3" t="s">
        <v>1438</v>
      </c>
    </row>
    <row r="1929" spans="1:4" ht="24.75" customHeight="1">
      <c r="A1929" s="3" t="str">
        <f>"34892021110721565447158"</f>
        <v>34892021110721565447158</v>
      </c>
      <c r="B1929" s="3" t="s">
        <v>428</v>
      </c>
      <c r="C1929" s="3" t="str">
        <f>"李多钊"</f>
        <v>李多钊</v>
      </c>
      <c r="D1929" s="3" t="s">
        <v>1798</v>
      </c>
    </row>
    <row r="1930" spans="1:4" ht="24.75" customHeight="1">
      <c r="A1930" s="3" t="str">
        <f>"34892021110721594447162"</f>
        <v>34892021110721594447162</v>
      </c>
      <c r="B1930" s="3" t="s">
        <v>428</v>
      </c>
      <c r="C1930" s="3" t="str">
        <f>"王秋菊"</f>
        <v>王秋菊</v>
      </c>
      <c r="D1930" s="3" t="s">
        <v>1799</v>
      </c>
    </row>
    <row r="1931" spans="1:4" ht="24.75" customHeight="1">
      <c r="A1931" s="3" t="str">
        <f>"34892021110722020947167"</f>
        <v>34892021110722020947167</v>
      </c>
      <c r="B1931" s="3" t="s">
        <v>428</v>
      </c>
      <c r="C1931" s="3" t="str">
        <f>"潘瑜"</f>
        <v>潘瑜</v>
      </c>
      <c r="D1931" s="3" t="s">
        <v>615</v>
      </c>
    </row>
    <row r="1932" spans="1:4" ht="24.75" customHeight="1">
      <c r="A1932" s="3" t="str">
        <f>"34892021110722091247171"</f>
        <v>34892021110722091247171</v>
      </c>
      <c r="B1932" s="3" t="s">
        <v>428</v>
      </c>
      <c r="C1932" s="3" t="str">
        <f>"李芳继"</f>
        <v>李芳继</v>
      </c>
      <c r="D1932" s="3" t="s">
        <v>1800</v>
      </c>
    </row>
    <row r="1933" spans="1:4" ht="24.75" customHeight="1">
      <c r="A1933" s="3" t="str">
        <f>"34892021110722092347172"</f>
        <v>34892021110722092347172</v>
      </c>
      <c r="B1933" s="3" t="s">
        <v>428</v>
      </c>
      <c r="C1933" s="3" t="str">
        <f>"陈小惠"</f>
        <v>陈小惠</v>
      </c>
      <c r="D1933" s="3" t="s">
        <v>1543</v>
      </c>
    </row>
    <row r="1934" spans="1:4" ht="24.75" customHeight="1">
      <c r="A1934" s="3" t="str">
        <f>"34892021110722132447175"</f>
        <v>34892021110722132447175</v>
      </c>
      <c r="B1934" s="3" t="s">
        <v>428</v>
      </c>
      <c r="C1934" s="3" t="str">
        <f>"陈才平"</f>
        <v>陈才平</v>
      </c>
      <c r="D1934" s="3" t="s">
        <v>1801</v>
      </c>
    </row>
    <row r="1935" spans="1:4" ht="24.75" customHeight="1">
      <c r="A1935" s="3" t="str">
        <f>"34892021110722162747178"</f>
        <v>34892021110722162747178</v>
      </c>
      <c r="B1935" s="3" t="s">
        <v>428</v>
      </c>
      <c r="C1935" s="3" t="str">
        <f>"符永妮"</f>
        <v>符永妮</v>
      </c>
      <c r="D1935" s="3" t="s">
        <v>1802</v>
      </c>
    </row>
    <row r="1936" spans="1:4" ht="24.75" customHeight="1">
      <c r="A1936" s="3" t="str">
        <f>"34892021110722201547184"</f>
        <v>34892021110722201547184</v>
      </c>
      <c r="B1936" s="3" t="s">
        <v>428</v>
      </c>
      <c r="C1936" s="3" t="str">
        <f>"吕武鑫"</f>
        <v>吕武鑫</v>
      </c>
      <c r="D1936" s="3" t="s">
        <v>931</v>
      </c>
    </row>
    <row r="1937" spans="1:4" ht="24.75" customHeight="1">
      <c r="A1937" s="3" t="str">
        <f>"34892021110722244947186"</f>
        <v>34892021110722244947186</v>
      </c>
      <c r="B1937" s="3" t="s">
        <v>428</v>
      </c>
      <c r="C1937" s="3" t="str">
        <f>"罗昌儒"</f>
        <v>罗昌儒</v>
      </c>
      <c r="D1937" s="3" t="s">
        <v>1803</v>
      </c>
    </row>
    <row r="1938" spans="1:4" ht="24.75" customHeight="1">
      <c r="A1938" s="3" t="str">
        <f>"34892021110722315547192"</f>
        <v>34892021110722315547192</v>
      </c>
      <c r="B1938" s="3" t="s">
        <v>428</v>
      </c>
      <c r="C1938" s="3" t="str">
        <f>"赵蕊"</f>
        <v>赵蕊</v>
      </c>
      <c r="D1938" s="3" t="s">
        <v>1717</v>
      </c>
    </row>
    <row r="1939" spans="1:4" ht="24.75" customHeight="1">
      <c r="A1939" s="3" t="str">
        <f>"34892021110722344547196"</f>
        <v>34892021110722344547196</v>
      </c>
      <c r="B1939" s="3" t="s">
        <v>428</v>
      </c>
      <c r="C1939" s="3" t="str">
        <f>"王平珍"</f>
        <v>王平珍</v>
      </c>
      <c r="D1939" s="3" t="s">
        <v>1804</v>
      </c>
    </row>
    <row r="1940" spans="1:4" ht="24.75" customHeight="1">
      <c r="A1940" s="3" t="str">
        <f>"34892021110722380347197"</f>
        <v>34892021110722380347197</v>
      </c>
      <c r="B1940" s="3" t="s">
        <v>428</v>
      </c>
      <c r="C1940" s="3" t="str">
        <f>"龙籍壮"</f>
        <v>龙籍壮</v>
      </c>
      <c r="D1940" s="3" t="s">
        <v>1805</v>
      </c>
    </row>
    <row r="1941" spans="1:4" ht="24.75" customHeight="1">
      <c r="A1941" s="3" t="str">
        <f>"34892021110722424947203"</f>
        <v>34892021110722424947203</v>
      </c>
      <c r="B1941" s="3" t="s">
        <v>428</v>
      </c>
      <c r="C1941" s="3" t="str">
        <f>"邓金凤"</f>
        <v>邓金凤</v>
      </c>
      <c r="D1941" s="3" t="s">
        <v>1806</v>
      </c>
    </row>
    <row r="1942" spans="1:4" ht="24.75" customHeight="1">
      <c r="A1942" s="3" t="str">
        <f>"34892021110722443447206"</f>
        <v>34892021110722443447206</v>
      </c>
      <c r="B1942" s="3" t="s">
        <v>428</v>
      </c>
      <c r="C1942" s="3" t="str">
        <f>"陈素影"</f>
        <v>陈素影</v>
      </c>
      <c r="D1942" s="3" t="s">
        <v>1807</v>
      </c>
    </row>
    <row r="1943" spans="1:4" ht="24.75" customHeight="1">
      <c r="A1943" s="3" t="str">
        <f>"34892021110722464347207"</f>
        <v>34892021110722464347207</v>
      </c>
      <c r="B1943" s="3" t="s">
        <v>428</v>
      </c>
      <c r="C1943" s="3" t="str">
        <f>"黄琪"</f>
        <v>黄琪</v>
      </c>
      <c r="D1943" s="3" t="s">
        <v>812</v>
      </c>
    </row>
    <row r="1944" spans="1:4" ht="24.75" customHeight="1">
      <c r="A1944" s="3" t="str">
        <f>"34892021110722470647208"</f>
        <v>34892021110722470647208</v>
      </c>
      <c r="B1944" s="3" t="s">
        <v>428</v>
      </c>
      <c r="C1944" s="3" t="str">
        <f>"邢益鑫"</f>
        <v>邢益鑫</v>
      </c>
      <c r="D1944" s="3" t="s">
        <v>1808</v>
      </c>
    </row>
    <row r="1945" spans="1:4" ht="24.75" customHeight="1">
      <c r="A1945" s="3" t="str">
        <f>"34892021110722552747212"</f>
        <v>34892021110722552747212</v>
      </c>
      <c r="B1945" s="3" t="s">
        <v>428</v>
      </c>
      <c r="C1945" s="3" t="str">
        <f>"吴伯梦"</f>
        <v>吴伯梦</v>
      </c>
      <c r="D1945" s="3" t="s">
        <v>1809</v>
      </c>
    </row>
    <row r="1946" spans="1:4" ht="24.75" customHeight="1">
      <c r="A1946" s="3" t="str">
        <f>"34892021110722565247214"</f>
        <v>34892021110722565247214</v>
      </c>
      <c r="B1946" s="3" t="s">
        <v>428</v>
      </c>
      <c r="C1946" s="3" t="str">
        <f>"吴舒婷"</f>
        <v>吴舒婷</v>
      </c>
      <c r="D1946" s="3" t="s">
        <v>1810</v>
      </c>
    </row>
    <row r="1947" spans="1:4" ht="24.75" customHeight="1">
      <c r="A1947" s="3" t="str">
        <f>"34892021110723000547218"</f>
        <v>34892021110723000547218</v>
      </c>
      <c r="B1947" s="3" t="s">
        <v>428</v>
      </c>
      <c r="C1947" s="3" t="str">
        <f>"黄晓惬"</f>
        <v>黄晓惬</v>
      </c>
      <c r="D1947" s="3" t="s">
        <v>1811</v>
      </c>
    </row>
    <row r="1948" spans="1:4" ht="24.75" customHeight="1">
      <c r="A1948" s="3" t="str">
        <f>"34892021110723021047220"</f>
        <v>34892021110723021047220</v>
      </c>
      <c r="B1948" s="3" t="s">
        <v>428</v>
      </c>
      <c r="C1948" s="3" t="str">
        <f>"黄明月"</f>
        <v>黄明月</v>
      </c>
      <c r="D1948" s="3" t="s">
        <v>1812</v>
      </c>
    </row>
    <row r="1949" spans="1:4" ht="24.75" customHeight="1">
      <c r="A1949" s="3" t="str">
        <f>"34892021110723105847222"</f>
        <v>34892021110723105847222</v>
      </c>
      <c r="B1949" s="3" t="s">
        <v>428</v>
      </c>
      <c r="C1949" s="3" t="str">
        <f>"王莹莹"</f>
        <v>王莹莹</v>
      </c>
      <c r="D1949" s="3" t="s">
        <v>1813</v>
      </c>
    </row>
    <row r="1950" spans="1:4" ht="24.75" customHeight="1">
      <c r="A1950" s="3" t="str">
        <f>"34892021110723113347223"</f>
        <v>34892021110723113347223</v>
      </c>
      <c r="B1950" s="3" t="s">
        <v>428</v>
      </c>
      <c r="C1950" s="3" t="str">
        <f>"陈海涯"</f>
        <v>陈海涯</v>
      </c>
      <c r="D1950" s="3" t="s">
        <v>1814</v>
      </c>
    </row>
    <row r="1951" spans="1:4" ht="24.75" customHeight="1">
      <c r="A1951" s="3" t="str">
        <f>"34892021110723135947226"</f>
        <v>34892021110723135947226</v>
      </c>
      <c r="B1951" s="3" t="s">
        <v>428</v>
      </c>
      <c r="C1951" s="3" t="str">
        <f>"林华典"</f>
        <v>林华典</v>
      </c>
      <c r="D1951" s="3" t="s">
        <v>775</v>
      </c>
    </row>
    <row r="1952" spans="1:4" ht="24.75" customHeight="1">
      <c r="A1952" s="3" t="str">
        <f>"34892021110723153247229"</f>
        <v>34892021110723153247229</v>
      </c>
      <c r="B1952" s="3" t="s">
        <v>428</v>
      </c>
      <c r="C1952" s="3" t="str">
        <f>"张娴"</f>
        <v>张娴</v>
      </c>
      <c r="D1952" s="3" t="s">
        <v>1815</v>
      </c>
    </row>
    <row r="1953" spans="1:4" ht="24.75" customHeight="1">
      <c r="A1953" s="3" t="str">
        <f>"34892021110723280747236"</f>
        <v>34892021110723280747236</v>
      </c>
      <c r="B1953" s="3" t="s">
        <v>428</v>
      </c>
      <c r="C1953" s="3" t="str">
        <f>"林梅珠"</f>
        <v>林梅珠</v>
      </c>
      <c r="D1953" s="3" t="s">
        <v>1816</v>
      </c>
    </row>
    <row r="1954" spans="1:4" ht="24.75" customHeight="1">
      <c r="A1954" s="3" t="str">
        <f>"34892021110723290447237"</f>
        <v>34892021110723290447237</v>
      </c>
      <c r="B1954" s="3" t="s">
        <v>428</v>
      </c>
      <c r="C1954" s="3" t="str">
        <f>"黄诺霖"</f>
        <v>黄诺霖</v>
      </c>
      <c r="D1954" s="3" t="s">
        <v>1815</v>
      </c>
    </row>
    <row r="1955" spans="1:4" ht="24.75" customHeight="1">
      <c r="A1955" s="3" t="str">
        <f>"34892021110723324047238"</f>
        <v>34892021110723324047238</v>
      </c>
      <c r="B1955" s="3" t="s">
        <v>428</v>
      </c>
      <c r="C1955" s="3" t="str">
        <f>"刘诗怡"</f>
        <v>刘诗怡</v>
      </c>
      <c r="D1955" s="3" t="s">
        <v>1817</v>
      </c>
    </row>
    <row r="1956" spans="1:4" ht="24.75" customHeight="1">
      <c r="A1956" s="3" t="str">
        <f>"34892021110723354847242"</f>
        <v>34892021110723354847242</v>
      </c>
      <c r="B1956" s="3" t="s">
        <v>428</v>
      </c>
      <c r="C1956" s="3" t="str">
        <f>"平文清"</f>
        <v>平文清</v>
      </c>
      <c r="D1956" s="3" t="s">
        <v>1818</v>
      </c>
    </row>
    <row r="1957" spans="1:4" ht="24.75" customHeight="1">
      <c r="A1957" s="3" t="str">
        <f>"34892021110723561447255"</f>
        <v>34892021110723561447255</v>
      </c>
      <c r="B1957" s="3" t="s">
        <v>428</v>
      </c>
      <c r="C1957" s="3" t="str">
        <f>"白慧娟"</f>
        <v>白慧娟</v>
      </c>
      <c r="D1957" s="3" t="s">
        <v>1819</v>
      </c>
    </row>
    <row r="1958" spans="1:4" ht="24.75" customHeight="1">
      <c r="A1958" s="3" t="str">
        <f>"34892021110723593847257"</f>
        <v>34892021110723593847257</v>
      </c>
      <c r="B1958" s="3" t="s">
        <v>428</v>
      </c>
      <c r="C1958" s="3" t="str">
        <f>"柳小英"</f>
        <v>柳小英</v>
      </c>
      <c r="D1958" s="3" t="s">
        <v>1820</v>
      </c>
    </row>
    <row r="1959" spans="1:4" ht="24.75" customHeight="1">
      <c r="A1959" s="3" t="str">
        <f>"34892021110800000547258"</f>
        <v>34892021110800000547258</v>
      </c>
      <c r="B1959" s="3" t="s">
        <v>428</v>
      </c>
      <c r="C1959" s="3" t="str">
        <f>"黄华娟"</f>
        <v>黄华娟</v>
      </c>
      <c r="D1959" s="3" t="s">
        <v>1821</v>
      </c>
    </row>
    <row r="1960" spans="1:4" ht="24.75" customHeight="1">
      <c r="A1960" s="3" t="str">
        <f>"34892021110800030047260"</f>
        <v>34892021110800030047260</v>
      </c>
      <c r="B1960" s="3" t="s">
        <v>428</v>
      </c>
      <c r="C1960" s="3" t="str">
        <f>"陈夏旋"</f>
        <v>陈夏旋</v>
      </c>
      <c r="D1960" s="3" t="s">
        <v>1822</v>
      </c>
    </row>
    <row r="1961" spans="1:4" ht="24.75" customHeight="1">
      <c r="A1961" s="3" t="str">
        <f>"34892021110800043347263"</f>
        <v>34892021110800043347263</v>
      </c>
      <c r="B1961" s="3" t="s">
        <v>428</v>
      </c>
      <c r="C1961" s="3" t="str">
        <f>"杨雨顺"</f>
        <v>杨雨顺</v>
      </c>
      <c r="D1961" s="3" t="s">
        <v>1823</v>
      </c>
    </row>
    <row r="1962" spans="1:4" ht="24.75" customHeight="1">
      <c r="A1962" s="3" t="str">
        <f>"34892021110800161547264"</f>
        <v>34892021110800161547264</v>
      </c>
      <c r="B1962" s="3" t="s">
        <v>428</v>
      </c>
      <c r="C1962" s="3" t="str">
        <f>"吴钟淦"</f>
        <v>吴钟淦</v>
      </c>
      <c r="D1962" s="3" t="s">
        <v>1711</v>
      </c>
    </row>
    <row r="1963" spans="1:4" ht="24.75" customHeight="1">
      <c r="A1963" s="3" t="str">
        <f>"34892021110800272147270"</f>
        <v>34892021110800272147270</v>
      </c>
      <c r="B1963" s="3" t="s">
        <v>428</v>
      </c>
      <c r="C1963" s="3" t="str">
        <f>"叶宏侨"</f>
        <v>叶宏侨</v>
      </c>
      <c r="D1963" s="3" t="s">
        <v>1824</v>
      </c>
    </row>
    <row r="1964" spans="1:4" ht="24.75" customHeight="1">
      <c r="A1964" s="3" t="str">
        <f>"34892021110800452747275"</f>
        <v>34892021110800452747275</v>
      </c>
      <c r="B1964" s="3" t="s">
        <v>428</v>
      </c>
      <c r="C1964" s="3" t="str">
        <f>"王妹福"</f>
        <v>王妹福</v>
      </c>
      <c r="D1964" s="3" t="s">
        <v>1825</v>
      </c>
    </row>
    <row r="1965" spans="1:4" ht="24.75" customHeight="1">
      <c r="A1965" s="3" t="str">
        <f>"34892021110801050747276"</f>
        <v>34892021110801050747276</v>
      </c>
      <c r="B1965" s="3" t="s">
        <v>428</v>
      </c>
      <c r="C1965" s="3" t="str">
        <f>"刘爽"</f>
        <v>刘爽</v>
      </c>
      <c r="D1965" s="3" t="s">
        <v>1826</v>
      </c>
    </row>
    <row r="1966" spans="1:4" ht="24.75" customHeight="1">
      <c r="A1966" s="3" t="str">
        <f>"34892021110802072047281"</f>
        <v>34892021110802072047281</v>
      </c>
      <c r="B1966" s="3" t="s">
        <v>428</v>
      </c>
      <c r="C1966" s="3" t="str">
        <f>"李德康"</f>
        <v>李德康</v>
      </c>
      <c r="D1966" s="3" t="s">
        <v>1827</v>
      </c>
    </row>
    <row r="1967" spans="1:4" ht="24.75" customHeight="1">
      <c r="A1967" s="3" t="str">
        <f>"34892021110802383547284"</f>
        <v>34892021110802383547284</v>
      </c>
      <c r="B1967" s="3" t="s">
        <v>428</v>
      </c>
      <c r="C1967" s="3" t="str">
        <f>"谢良玺"</f>
        <v>谢良玺</v>
      </c>
      <c r="D1967" s="3" t="s">
        <v>1828</v>
      </c>
    </row>
    <row r="1968" spans="1:4" ht="24.75" customHeight="1">
      <c r="A1968" s="3" t="str">
        <f>"34892021110804492847287"</f>
        <v>34892021110804492847287</v>
      </c>
      <c r="B1968" s="3" t="s">
        <v>428</v>
      </c>
      <c r="C1968" s="3" t="str">
        <f>"陈骏导"</f>
        <v>陈骏导</v>
      </c>
      <c r="D1968" s="3" t="s">
        <v>1829</v>
      </c>
    </row>
    <row r="1969" spans="1:4" ht="24.75" customHeight="1">
      <c r="A1969" s="3" t="str">
        <f>"34892021110807380947289"</f>
        <v>34892021110807380947289</v>
      </c>
      <c r="B1969" s="3" t="s">
        <v>428</v>
      </c>
      <c r="C1969" s="3" t="str">
        <f>"符为鲁"</f>
        <v>符为鲁</v>
      </c>
      <c r="D1969" s="3" t="s">
        <v>1830</v>
      </c>
    </row>
    <row r="1970" spans="1:4" ht="24.75" customHeight="1">
      <c r="A1970" s="3" t="str">
        <f>"34892021110807475547290"</f>
        <v>34892021110807475547290</v>
      </c>
      <c r="B1970" s="3" t="s">
        <v>428</v>
      </c>
      <c r="C1970" s="3" t="str">
        <f>"陈云"</f>
        <v>陈云</v>
      </c>
      <c r="D1970" s="3" t="s">
        <v>1538</v>
      </c>
    </row>
    <row r="1971" spans="1:4" ht="24.75" customHeight="1">
      <c r="A1971" s="3" t="str">
        <f>"34892021110808243447306"</f>
        <v>34892021110808243447306</v>
      </c>
      <c r="B1971" s="3" t="s">
        <v>428</v>
      </c>
      <c r="C1971" s="3" t="str">
        <f>"王青莹"</f>
        <v>王青莹</v>
      </c>
      <c r="D1971" s="3" t="s">
        <v>240</v>
      </c>
    </row>
    <row r="1972" spans="1:4" ht="24.75" customHeight="1">
      <c r="A1972" s="3" t="str">
        <f>"34892021110808385347321"</f>
        <v>34892021110808385347321</v>
      </c>
      <c r="B1972" s="3" t="s">
        <v>428</v>
      </c>
      <c r="C1972" s="3" t="str">
        <f>"陈兰转"</f>
        <v>陈兰转</v>
      </c>
      <c r="D1972" s="3" t="s">
        <v>1831</v>
      </c>
    </row>
    <row r="1973" spans="1:4" ht="24.75" customHeight="1">
      <c r="A1973" s="3" t="str">
        <f>"34892021110808440847327"</f>
        <v>34892021110808440847327</v>
      </c>
      <c r="B1973" s="3" t="s">
        <v>428</v>
      </c>
      <c r="C1973" s="3" t="str">
        <f>"周慧强"</f>
        <v>周慧强</v>
      </c>
      <c r="D1973" s="3" t="s">
        <v>1832</v>
      </c>
    </row>
    <row r="1974" spans="1:4" ht="24.75" customHeight="1">
      <c r="A1974" s="3" t="str">
        <f>"34892021110808451147328"</f>
        <v>34892021110808451147328</v>
      </c>
      <c r="B1974" s="3" t="s">
        <v>428</v>
      </c>
      <c r="C1974" s="3" t="str">
        <f>"李伊蕊"</f>
        <v>李伊蕊</v>
      </c>
      <c r="D1974" s="3" t="s">
        <v>1101</v>
      </c>
    </row>
    <row r="1975" spans="1:4" ht="24.75" customHeight="1">
      <c r="A1975" s="3" t="str">
        <f>"34892021110808464947331"</f>
        <v>34892021110808464947331</v>
      </c>
      <c r="B1975" s="3" t="s">
        <v>428</v>
      </c>
      <c r="C1975" s="3" t="str">
        <f>"王秀菊"</f>
        <v>王秀菊</v>
      </c>
      <c r="D1975" s="3" t="s">
        <v>1572</v>
      </c>
    </row>
    <row r="1976" spans="1:4" ht="24.75" customHeight="1">
      <c r="A1976" s="3" t="str">
        <f>"34892021110808474347332"</f>
        <v>34892021110808474347332</v>
      </c>
      <c r="B1976" s="3" t="s">
        <v>428</v>
      </c>
      <c r="C1976" s="3" t="str">
        <f>"李晶晶"</f>
        <v>李晶晶</v>
      </c>
      <c r="D1976" s="3" t="s">
        <v>1533</v>
      </c>
    </row>
    <row r="1977" spans="1:4" ht="24.75" customHeight="1">
      <c r="A1977" s="3" t="str">
        <f>"34892021110808490147333"</f>
        <v>34892021110808490147333</v>
      </c>
      <c r="B1977" s="3" t="s">
        <v>428</v>
      </c>
      <c r="C1977" s="3" t="str">
        <f>"吴碧香"</f>
        <v>吴碧香</v>
      </c>
      <c r="D1977" s="3" t="s">
        <v>1833</v>
      </c>
    </row>
    <row r="1978" spans="1:4" ht="24.75" customHeight="1">
      <c r="A1978" s="3" t="str">
        <f>"34892021110808505047338"</f>
        <v>34892021110808505047338</v>
      </c>
      <c r="B1978" s="3" t="s">
        <v>428</v>
      </c>
      <c r="C1978" s="3" t="str">
        <f>"葛芬"</f>
        <v>葛芬</v>
      </c>
      <c r="D1978" s="3" t="s">
        <v>1834</v>
      </c>
    </row>
    <row r="1979" spans="1:4" ht="24.75" customHeight="1">
      <c r="A1979" s="3" t="str">
        <f>"34892021110808514947339"</f>
        <v>34892021110808514947339</v>
      </c>
      <c r="B1979" s="3" t="s">
        <v>428</v>
      </c>
      <c r="C1979" s="3" t="str">
        <f>"廖圣森"</f>
        <v>廖圣森</v>
      </c>
      <c r="D1979" s="3" t="s">
        <v>1835</v>
      </c>
    </row>
    <row r="1980" spans="1:4" ht="24.75" customHeight="1">
      <c r="A1980" s="3" t="str">
        <f>"34892021110808515247340"</f>
        <v>34892021110808515247340</v>
      </c>
      <c r="B1980" s="3" t="s">
        <v>428</v>
      </c>
      <c r="C1980" s="3" t="str">
        <f>"陈吉孟"</f>
        <v>陈吉孟</v>
      </c>
      <c r="D1980" s="3" t="s">
        <v>1836</v>
      </c>
    </row>
    <row r="1981" spans="1:4" ht="24.75" customHeight="1">
      <c r="A1981" s="3" t="str">
        <f>"34892021110808520247341"</f>
        <v>34892021110808520247341</v>
      </c>
      <c r="B1981" s="3" t="s">
        <v>428</v>
      </c>
      <c r="C1981" s="3" t="str">
        <f>"李小儒"</f>
        <v>李小儒</v>
      </c>
      <c r="D1981" s="3" t="s">
        <v>1837</v>
      </c>
    </row>
    <row r="1982" spans="1:4" ht="24.75" customHeight="1">
      <c r="A1982" s="3" t="str">
        <f>"34892021110808573347350"</f>
        <v>34892021110808573347350</v>
      </c>
      <c r="B1982" s="3" t="s">
        <v>428</v>
      </c>
      <c r="C1982" s="3" t="str">
        <f>"许宁"</f>
        <v>许宁</v>
      </c>
      <c r="D1982" s="3" t="s">
        <v>1838</v>
      </c>
    </row>
    <row r="1983" spans="1:4" ht="24.75" customHeight="1">
      <c r="A1983" s="3" t="str">
        <f>"34892021110809030247358"</f>
        <v>34892021110809030247358</v>
      </c>
      <c r="B1983" s="3" t="s">
        <v>428</v>
      </c>
      <c r="C1983" s="3" t="str">
        <f>"黄文际"</f>
        <v>黄文际</v>
      </c>
      <c r="D1983" s="3" t="s">
        <v>1839</v>
      </c>
    </row>
    <row r="1984" spans="1:4" ht="24.75" customHeight="1">
      <c r="A1984" s="3" t="str">
        <f>"34892021110809035547361"</f>
        <v>34892021110809035547361</v>
      </c>
      <c r="B1984" s="3" t="s">
        <v>428</v>
      </c>
      <c r="C1984" s="3" t="str">
        <f>"吴传南"</f>
        <v>吴传南</v>
      </c>
      <c r="D1984" s="3" t="s">
        <v>1840</v>
      </c>
    </row>
    <row r="1985" spans="1:4" ht="24.75" customHeight="1">
      <c r="A1985" s="3" t="str">
        <f>"34892021110809063047362"</f>
        <v>34892021110809063047362</v>
      </c>
      <c r="B1985" s="3" t="s">
        <v>428</v>
      </c>
      <c r="C1985" s="3" t="str">
        <f>"林唐伶"</f>
        <v>林唐伶</v>
      </c>
      <c r="D1985" s="3" t="s">
        <v>1841</v>
      </c>
    </row>
    <row r="1986" spans="1:4" ht="24.75" customHeight="1">
      <c r="A1986" s="3" t="str">
        <f>"34892021110809150447372"</f>
        <v>34892021110809150447372</v>
      </c>
      <c r="B1986" s="3" t="s">
        <v>428</v>
      </c>
      <c r="C1986" s="3" t="str">
        <f>"岑红柳"</f>
        <v>岑红柳</v>
      </c>
      <c r="D1986" s="3" t="s">
        <v>1842</v>
      </c>
    </row>
    <row r="1987" spans="1:4" ht="24.75" customHeight="1">
      <c r="A1987" s="3" t="str">
        <f>"34892021110809154647374"</f>
        <v>34892021110809154647374</v>
      </c>
      <c r="B1987" s="3" t="s">
        <v>428</v>
      </c>
      <c r="C1987" s="3" t="str">
        <f>"王钰"</f>
        <v>王钰</v>
      </c>
      <c r="D1987" s="3" t="s">
        <v>1843</v>
      </c>
    </row>
    <row r="1988" spans="1:4" ht="24.75" customHeight="1">
      <c r="A1988" s="3" t="str">
        <f>"34892021110809162847376"</f>
        <v>34892021110809162847376</v>
      </c>
      <c r="B1988" s="3" t="s">
        <v>428</v>
      </c>
      <c r="C1988" s="3" t="str">
        <f>"王咪"</f>
        <v>王咪</v>
      </c>
      <c r="D1988" s="3" t="s">
        <v>1844</v>
      </c>
    </row>
    <row r="1989" spans="1:4" ht="24.75" customHeight="1">
      <c r="A1989" s="3" t="str">
        <f>"34892021110809181547378"</f>
        <v>34892021110809181547378</v>
      </c>
      <c r="B1989" s="3" t="s">
        <v>428</v>
      </c>
      <c r="C1989" s="3" t="str">
        <f>"王玉英"</f>
        <v>王玉英</v>
      </c>
      <c r="D1989" s="3" t="s">
        <v>1845</v>
      </c>
    </row>
    <row r="1990" spans="1:4" ht="24.75" customHeight="1">
      <c r="A1990" s="3" t="str">
        <f>"34892021110809230547391"</f>
        <v>34892021110809230547391</v>
      </c>
      <c r="B1990" s="3" t="s">
        <v>428</v>
      </c>
      <c r="C1990" s="3" t="str">
        <f>"邢佳佳"</f>
        <v>邢佳佳</v>
      </c>
      <c r="D1990" s="3" t="s">
        <v>1846</v>
      </c>
    </row>
    <row r="1991" spans="1:4" ht="24.75" customHeight="1">
      <c r="A1991" s="3" t="str">
        <f>"34892021110809261847395"</f>
        <v>34892021110809261847395</v>
      </c>
      <c r="B1991" s="3" t="s">
        <v>428</v>
      </c>
      <c r="C1991" s="3" t="str">
        <f>"林天正"</f>
        <v>林天正</v>
      </c>
      <c r="D1991" s="3" t="s">
        <v>1493</v>
      </c>
    </row>
    <row r="1992" spans="1:4" ht="24.75" customHeight="1">
      <c r="A1992" s="3" t="str">
        <f>"34892021110809313647401"</f>
        <v>34892021110809313647401</v>
      </c>
      <c r="B1992" s="3" t="s">
        <v>428</v>
      </c>
      <c r="C1992" s="3" t="str">
        <f>"彭诗舒"</f>
        <v>彭诗舒</v>
      </c>
      <c r="D1992" s="3" t="s">
        <v>1847</v>
      </c>
    </row>
    <row r="1993" spans="1:4" ht="24.75" customHeight="1">
      <c r="A1993" s="3" t="str">
        <f>"34892021110809324547402"</f>
        <v>34892021110809324547402</v>
      </c>
      <c r="B1993" s="3" t="s">
        <v>428</v>
      </c>
      <c r="C1993" s="3" t="str">
        <f>"林明孔"</f>
        <v>林明孔</v>
      </c>
      <c r="D1993" s="3" t="s">
        <v>1054</v>
      </c>
    </row>
    <row r="1994" spans="1:4" ht="24.75" customHeight="1">
      <c r="A1994" s="3" t="str">
        <f>"34892021110809384047408"</f>
        <v>34892021110809384047408</v>
      </c>
      <c r="B1994" s="3" t="s">
        <v>428</v>
      </c>
      <c r="C1994" s="3" t="str">
        <f>"陈之岳"</f>
        <v>陈之岳</v>
      </c>
      <c r="D1994" s="3" t="s">
        <v>1848</v>
      </c>
    </row>
    <row r="1995" spans="1:4" ht="24.75" customHeight="1">
      <c r="A1995" s="3" t="str">
        <f>"34892021110809391047409"</f>
        <v>34892021110809391047409</v>
      </c>
      <c r="B1995" s="3" t="s">
        <v>428</v>
      </c>
      <c r="C1995" s="3" t="str">
        <f>"陈金滢"</f>
        <v>陈金滢</v>
      </c>
      <c r="D1995" s="3" t="s">
        <v>1849</v>
      </c>
    </row>
    <row r="1996" spans="1:4" ht="24.75" customHeight="1">
      <c r="A1996" s="3" t="str">
        <f>"34892021110809392447410"</f>
        <v>34892021110809392447410</v>
      </c>
      <c r="B1996" s="3" t="s">
        <v>428</v>
      </c>
      <c r="C1996" s="3" t="str">
        <f>"符尚晨"</f>
        <v>符尚晨</v>
      </c>
      <c r="D1996" s="3" t="s">
        <v>1850</v>
      </c>
    </row>
    <row r="1997" spans="1:4" ht="24.75" customHeight="1">
      <c r="A1997" s="3" t="str">
        <f>"34892021110809393947411"</f>
        <v>34892021110809393947411</v>
      </c>
      <c r="B1997" s="3" t="s">
        <v>428</v>
      </c>
      <c r="C1997" s="3" t="str">
        <f>"罗程悦"</f>
        <v>罗程悦</v>
      </c>
      <c r="D1997" s="3" t="s">
        <v>1851</v>
      </c>
    </row>
    <row r="1998" spans="1:4" ht="24.75" customHeight="1">
      <c r="A1998" s="3" t="str">
        <f>"34892021110809443947417"</f>
        <v>34892021110809443947417</v>
      </c>
      <c r="B1998" s="3" t="s">
        <v>428</v>
      </c>
      <c r="C1998" s="3" t="str">
        <f>"李焕奕"</f>
        <v>李焕奕</v>
      </c>
      <c r="D1998" s="3" t="s">
        <v>1852</v>
      </c>
    </row>
    <row r="1999" spans="1:4" ht="24.75" customHeight="1">
      <c r="A1999" s="3" t="str">
        <f>"34892021110809444647418"</f>
        <v>34892021110809444647418</v>
      </c>
      <c r="B1999" s="3" t="s">
        <v>428</v>
      </c>
      <c r="C1999" s="3" t="str">
        <f>"朱树帜"</f>
        <v>朱树帜</v>
      </c>
      <c r="D1999" s="3" t="s">
        <v>1853</v>
      </c>
    </row>
    <row r="2000" spans="1:4" ht="24.75" customHeight="1">
      <c r="A2000" s="3" t="str">
        <f>"34892021110809462547420"</f>
        <v>34892021110809462547420</v>
      </c>
      <c r="B2000" s="3" t="s">
        <v>428</v>
      </c>
      <c r="C2000" s="3" t="str">
        <f>"黄长海"</f>
        <v>黄长海</v>
      </c>
      <c r="D2000" s="3" t="s">
        <v>1536</v>
      </c>
    </row>
    <row r="2001" spans="1:4" ht="24.75" customHeight="1">
      <c r="A2001" s="3" t="str">
        <f>"34892021110809463647421"</f>
        <v>34892021110809463647421</v>
      </c>
      <c r="B2001" s="3" t="s">
        <v>428</v>
      </c>
      <c r="C2001" s="3" t="str">
        <f>"符克芳"</f>
        <v>符克芳</v>
      </c>
      <c r="D2001" s="3" t="s">
        <v>1854</v>
      </c>
    </row>
    <row r="2002" spans="1:4" ht="24.75" customHeight="1">
      <c r="A2002" s="3" t="str">
        <f>"34892021110809482547424"</f>
        <v>34892021110809482547424</v>
      </c>
      <c r="B2002" s="3" t="s">
        <v>428</v>
      </c>
      <c r="C2002" s="3" t="str">
        <f>"黄昌华"</f>
        <v>黄昌华</v>
      </c>
      <c r="D2002" s="3" t="s">
        <v>451</v>
      </c>
    </row>
    <row r="2003" spans="1:4" ht="24.75" customHeight="1">
      <c r="A2003" s="3" t="str">
        <f>"34892021110809485747426"</f>
        <v>34892021110809485747426</v>
      </c>
      <c r="B2003" s="3" t="s">
        <v>428</v>
      </c>
      <c r="C2003" s="3" t="str">
        <f>"林明胤"</f>
        <v>林明胤</v>
      </c>
      <c r="D2003" s="3" t="s">
        <v>1855</v>
      </c>
    </row>
    <row r="2004" spans="1:4" ht="24.75" customHeight="1">
      <c r="A2004" s="3" t="str">
        <f>"34892021110809503147430"</f>
        <v>34892021110809503147430</v>
      </c>
      <c r="B2004" s="3" t="s">
        <v>428</v>
      </c>
      <c r="C2004" s="3" t="str">
        <f>"王媛"</f>
        <v>王媛</v>
      </c>
      <c r="D2004" s="3" t="s">
        <v>1856</v>
      </c>
    </row>
    <row r="2005" spans="1:4" ht="24.75" customHeight="1">
      <c r="A2005" s="3" t="str">
        <f>"34892021110809504947431"</f>
        <v>34892021110809504947431</v>
      </c>
      <c r="B2005" s="3" t="s">
        <v>428</v>
      </c>
      <c r="C2005" s="3" t="str">
        <f>"陈海霞"</f>
        <v>陈海霞</v>
      </c>
      <c r="D2005" s="3" t="s">
        <v>1857</v>
      </c>
    </row>
    <row r="2006" spans="1:4" ht="24.75" customHeight="1">
      <c r="A2006" s="3" t="str">
        <f>"34892021110809505947432"</f>
        <v>34892021110809505947432</v>
      </c>
      <c r="B2006" s="3" t="s">
        <v>428</v>
      </c>
      <c r="C2006" s="3" t="str">
        <f>"刘彩燕"</f>
        <v>刘彩燕</v>
      </c>
      <c r="D2006" s="3" t="s">
        <v>1858</v>
      </c>
    </row>
    <row r="2007" spans="1:4" ht="24.75" customHeight="1">
      <c r="A2007" s="3" t="str">
        <f>"34892021110809514147435"</f>
        <v>34892021110809514147435</v>
      </c>
      <c r="B2007" s="3" t="s">
        <v>428</v>
      </c>
      <c r="C2007" s="3" t="str">
        <f>"倪裕豪"</f>
        <v>倪裕豪</v>
      </c>
      <c r="D2007" s="3" t="s">
        <v>1859</v>
      </c>
    </row>
    <row r="2008" spans="1:4" ht="24.75" customHeight="1">
      <c r="A2008" s="3" t="str">
        <f>"34892021110809514547436"</f>
        <v>34892021110809514547436</v>
      </c>
      <c r="B2008" s="3" t="s">
        <v>428</v>
      </c>
      <c r="C2008" s="3" t="str">
        <f>"冯琳"</f>
        <v>冯琳</v>
      </c>
      <c r="D2008" s="3" t="s">
        <v>1860</v>
      </c>
    </row>
    <row r="2009" spans="1:4" ht="24.75" customHeight="1">
      <c r="A2009" s="3" t="str">
        <f>"34892021110809540647443"</f>
        <v>34892021110809540647443</v>
      </c>
      <c r="B2009" s="3" t="s">
        <v>428</v>
      </c>
      <c r="C2009" s="3" t="str">
        <f>"曾霞"</f>
        <v>曾霞</v>
      </c>
      <c r="D2009" s="3" t="s">
        <v>1861</v>
      </c>
    </row>
    <row r="2010" spans="1:4" ht="24.75" customHeight="1">
      <c r="A2010" s="3" t="str">
        <f>"34892021110809563947444"</f>
        <v>34892021110809563947444</v>
      </c>
      <c r="B2010" s="3" t="s">
        <v>428</v>
      </c>
      <c r="C2010" s="3" t="str">
        <f>"李姗姗"</f>
        <v>李姗姗</v>
      </c>
      <c r="D2010" s="3" t="s">
        <v>1862</v>
      </c>
    </row>
    <row r="2011" spans="1:4" ht="24.75" customHeight="1">
      <c r="A2011" s="3" t="str">
        <f>"34892021110809564547445"</f>
        <v>34892021110809564547445</v>
      </c>
      <c r="B2011" s="3" t="s">
        <v>428</v>
      </c>
      <c r="C2011" s="3" t="str">
        <f>"邱名岳"</f>
        <v>邱名岳</v>
      </c>
      <c r="D2011" s="3" t="s">
        <v>1863</v>
      </c>
    </row>
    <row r="2012" spans="1:4" ht="24.75" customHeight="1">
      <c r="A2012" s="3" t="str">
        <f>"34892021110809572647446"</f>
        <v>34892021110809572647446</v>
      </c>
      <c r="B2012" s="3" t="s">
        <v>428</v>
      </c>
      <c r="C2012" s="3" t="str">
        <f>"罗虹"</f>
        <v>罗虹</v>
      </c>
      <c r="D2012" s="3" t="s">
        <v>1864</v>
      </c>
    </row>
    <row r="2013" spans="1:4" ht="24.75" customHeight="1">
      <c r="A2013" s="3" t="str">
        <f>"34892021110809573947447"</f>
        <v>34892021110809573947447</v>
      </c>
      <c r="B2013" s="3" t="s">
        <v>428</v>
      </c>
      <c r="C2013" s="3" t="str">
        <f>"施莹莹"</f>
        <v>施莹莹</v>
      </c>
      <c r="D2013" s="3" t="s">
        <v>1865</v>
      </c>
    </row>
    <row r="2014" spans="1:4" ht="24.75" customHeight="1">
      <c r="A2014" s="3" t="str">
        <f>"34892021110810010947453"</f>
        <v>34892021110810010947453</v>
      </c>
      <c r="B2014" s="3" t="s">
        <v>428</v>
      </c>
      <c r="C2014" s="3" t="str">
        <f>"林小莉"</f>
        <v>林小莉</v>
      </c>
      <c r="D2014" s="3" t="s">
        <v>1866</v>
      </c>
    </row>
    <row r="2015" spans="1:4" ht="24.75" customHeight="1">
      <c r="A2015" s="3" t="str">
        <f>"34892021110810022047455"</f>
        <v>34892021110810022047455</v>
      </c>
      <c r="B2015" s="3" t="s">
        <v>428</v>
      </c>
      <c r="C2015" s="3" t="str">
        <f>"许堂隆"</f>
        <v>许堂隆</v>
      </c>
      <c r="D2015" s="3" t="s">
        <v>1867</v>
      </c>
    </row>
    <row r="2016" spans="1:4" ht="24.75" customHeight="1">
      <c r="A2016" s="3" t="str">
        <f>"34892021110810064747462"</f>
        <v>34892021110810064747462</v>
      </c>
      <c r="B2016" s="3" t="s">
        <v>428</v>
      </c>
      <c r="C2016" s="3" t="str">
        <f>"陈依宁"</f>
        <v>陈依宁</v>
      </c>
      <c r="D2016" s="3" t="s">
        <v>1868</v>
      </c>
    </row>
    <row r="2017" spans="1:4" ht="24.75" customHeight="1">
      <c r="A2017" s="3" t="str">
        <f>"34892021110810070447464"</f>
        <v>34892021110810070447464</v>
      </c>
      <c r="B2017" s="3" t="s">
        <v>428</v>
      </c>
      <c r="C2017" s="3" t="str">
        <f>"路金磊"</f>
        <v>路金磊</v>
      </c>
      <c r="D2017" s="3" t="s">
        <v>1869</v>
      </c>
    </row>
    <row r="2018" spans="1:4" ht="24.75" customHeight="1">
      <c r="A2018" s="3" t="str">
        <f>"34892021110810071947465"</f>
        <v>34892021110810071947465</v>
      </c>
      <c r="B2018" s="3" t="s">
        <v>428</v>
      </c>
      <c r="C2018" s="3" t="str">
        <f>"张品一"</f>
        <v>张品一</v>
      </c>
      <c r="D2018" s="3" t="s">
        <v>1870</v>
      </c>
    </row>
    <row r="2019" spans="1:4" ht="24.75" customHeight="1">
      <c r="A2019" s="3" t="str">
        <f>"34892021110810080047466"</f>
        <v>34892021110810080047466</v>
      </c>
      <c r="B2019" s="3" t="s">
        <v>428</v>
      </c>
      <c r="C2019" s="3" t="str">
        <f>"施昌良"</f>
        <v>施昌良</v>
      </c>
      <c r="D2019" s="3" t="s">
        <v>1871</v>
      </c>
    </row>
    <row r="2020" spans="1:4" ht="24.75" customHeight="1">
      <c r="A2020" s="3" t="str">
        <f>"34892021110810114647472"</f>
        <v>34892021110810114647472</v>
      </c>
      <c r="B2020" s="3" t="s">
        <v>428</v>
      </c>
      <c r="C2020" s="3" t="str">
        <f>"罗海慧"</f>
        <v>罗海慧</v>
      </c>
      <c r="D2020" s="3" t="s">
        <v>270</v>
      </c>
    </row>
    <row r="2021" spans="1:4" ht="24.75" customHeight="1">
      <c r="A2021" s="3" t="str">
        <f>"34892021110810125247474"</f>
        <v>34892021110810125247474</v>
      </c>
      <c r="B2021" s="3" t="s">
        <v>428</v>
      </c>
      <c r="C2021" s="3" t="str">
        <f>"黄竺桥"</f>
        <v>黄竺桥</v>
      </c>
      <c r="D2021" s="3" t="s">
        <v>1872</v>
      </c>
    </row>
    <row r="2022" spans="1:4" ht="24.75" customHeight="1">
      <c r="A2022" s="3" t="str">
        <f>"34892021110810134147476"</f>
        <v>34892021110810134147476</v>
      </c>
      <c r="B2022" s="3" t="s">
        <v>428</v>
      </c>
      <c r="C2022" s="3" t="str">
        <f>"王和利"</f>
        <v>王和利</v>
      </c>
      <c r="D2022" s="3" t="s">
        <v>1873</v>
      </c>
    </row>
    <row r="2023" spans="1:4" ht="24.75" customHeight="1">
      <c r="A2023" s="3" t="str">
        <f>"34892021110810150547477"</f>
        <v>34892021110810150547477</v>
      </c>
      <c r="B2023" s="3" t="s">
        <v>428</v>
      </c>
      <c r="C2023" s="3" t="str">
        <f>"潘美志"</f>
        <v>潘美志</v>
      </c>
      <c r="D2023" s="3" t="s">
        <v>1874</v>
      </c>
    </row>
    <row r="2024" spans="1:4" ht="24.75" customHeight="1">
      <c r="A2024" s="3" t="str">
        <f>"34892021110810150947478"</f>
        <v>34892021110810150947478</v>
      </c>
      <c r="B2024" s="3" t="s">
        <v>428</v>
      </c>
      <c r="C2024" s="3" t="str">
        <f>"吴育全"</f>
        <v>吴育全</v>
      </c>
      <c r="D2024" s="3" t="s">
        <v>1875</v>
      </c>
    </row>
    <row r="2025" spans="1:4" ht="24.75" customHeight="1">
      <c r="A2025" s="3" t="str">
        <f>"34892021110810161347479"</f>
        <v>34892021110810161347479</v>
      </c>
      <c r="B2025" s="3" t="s">
        <v>428</v>
      </c>
      <c r="C2025" s="3" t="str">
        <f>"吴春娇"</f>
        <v>吴春娇</v>
      </c>
      <c r="D2025" s="3" t="s">
        <v>1876</v>
      </c>
    </row>
    <row r="2026" spans="1:4" ht="24.75" customHeight="1">
      <c r="A2026" s="3" t="str">
        <f>"34892021110810163547481"</f>
        <v>34892021110810163547481</v>
      </c>
      <c r="B2026" s="3" t="s">
        <v>428</v>
      </c>
      <c r="C2026" s="3" t="str">
        <f>"韩青桃"</f>
        <v>韩青桃</v>
      </c>
      <c r="D2026" s="3" t="s">
        <v>1877</v>
      </c>
    </row>
    <row r="2027" spans="1:4" ht="24.75" customHeight="1">
      <c r="A2027" s="3" t="str">
        <f>"34892021110810170347482"</f>
        <v>34892021110810170347482</v>
      </c>
      <c r="B2027" s="3" t="s">
        <v>428</v>
      </c>
      <c r="C2027" s="3" t="str">
        <f>"黄晓欢"</f>
        <v>黄晓欢</v>
      </c>
      <c r="D2027" s="3" t="s">
        <v>1878</v>
      </c>
    </row>
    <row r="2028" spans="1:4" ht="24.75" customHeight="1">
      <c r="A2028" s="3" t="str">
        <f>"34892021110810170747483"</f>
        <v>34892021110810170747483</v>
      </c>
      <c r="B2028" s="3" t="s">
        <v>428</v>
      </c>
      <c r="C2028" s="3" t="str">
        <f>"黎佳宇"</f>
        <v>黎佳宇</v>
      </c>
      <c r="D2028" s="3" t="s">
        <v>1879</v>
      </c>
    </row>
    <row r="2029" spans="1:4" ht="24.75" customHeight="1">
      <c r="A2029" s="3" t="str">
        <f>"34892021110810180047484"</f>
        <v>34892021110810180047484</v>
      </c>
      <c r="B2029" s="3" t="s">
        <v>428</v>
      </c>
      <c r="C2029" s="3" t="str">
        <f>"王丽爽"</f>
        <v>王丽爽</v>
      </c>
      <c r="D2029" s="3" t="s">
        <v>120</v>
      </c>
    </row>
    <row r="2030" spans="1:4" ht="24.75" customHeight="1">
      <c r="A2030" s="3" t="str">
        <f>"34892021110810191347485"</f>
        <v>34892021110810191347485</v>
      </c>
      <c r="B2030" s="3" t="s">
        <v>428</v>
      </c>
      <c r="C2030" s="3" t="str">
        <f>"王少汝"</f>
        <v>王少汝</v>
      </c>
      <c r="D2030" s="3" t="s">
        <v>1880</v>
      </c>
    </row>
    <row r="2031" spans="1:4" ht="24.75" customHeight="1">
      <c r="A2031" s="3" t="str">
        <f>"34892021110810200447486"</f>
        <v>34892021110810200447486</v>
      </c>
      <c r="B2031" s="3" t="s">
        <v>428</v>
      </c>
      <c r="C2031" s="3" t="str">
        <f>"符青南"</f>
        <v>符青南</v>
      </c>
      <c r="D2031" s="3" t="s">
        <v>1881</v>
      </c>
    </row>
    <row r="2032" spans="1:4" ht="24.75" customHeight="1">
      <c r="A2032" s="3" t="str">
        <f>"34892021110810202847487"</f>
        <v>34892021110810202847487</v>
      </c>
      <c r="B2032" s="3" t="s">
        <v>428</v>
      </c>
      <c r="C2032" s="3" t="str">
        <f>"李小婷"</f>
        <v>李小婷</v>
      </c>
      <c r="D2032" s="3" t="s">
        <v>1882</v>
      </c>
    </row>
    <row r="2033" spans="1:4" ht="24.75" customHeight="1">
      <c r="A2033" s="3" t="str">
        <f>"34892021110810204447489"</f>
        <v>34892021110810204447489</v>
      </c>
      <c r="B2033" s="3" t="s">
        <v>428</v>
      </c>
      <c r="C2033" s="3" t="str">
        <f>"邱洪威"</f>
        <v>邱洪威</v>
      </c>
      <c r="D2033" s="3" t="s">
        <v>1883</v>
      </c>
    </row>
    <row r="2034" spans="1:4" ht="24.75" customHeight="1">
      <c r="A2034" s="3" t="str">
        <f>"34892021110810282747495"</f>
        <v>34892021110810282747495</v>
      </c>
      <c r="B2034" s="3" t="s">
        <v>428</v>
      </c>
      <c r="C2034" s="3" t="str">
        <f>"符方美"</f>
        <v>符方美</v>
      </c>
      <c r="D2034" s="3" t="s">
        <v>1884</v>
      </c>
    </row>
    <row r="2035" spans="1:4" ht="24.75" customHeight="1">
      <c r="A2035" s="3" t="str">
        <f>"34892021110810292947500"</f>
        <v>34892021110810292947500</v>
      </c>
      <c r="B2035" s="3" t="s">
        <v>428</v>
      </c>
      <c r="C2035" s="3" t="str">
        <f>"韩权定"</f>
        <v>韩权定</v>
      </c>
      <c r="D2035" s="3" t="s">
        <v>1885</v>
      </c>
    </row>
    <row r="2036" spans="1:4" ht="24.75" customHeight="1">
      <c r="A2036" s="3" t="str">
        <f>"34892021110810324447509"</f>
        <v>34892021110810324447509</v>
      </c>
      <c r="B2036" s="3" t="s">
        <v>428</v>
      </c>
      <c r="C2036" s="3" t="str">
        <f>"唐丹殿"</f>
        <v>唐丹殿</v>
      </c>
      <c r="D2036" s="3" t="s">
        <v>1886</v>
      </c>
    </row>
    <row r="2037" spans="1:4" ht="24.75" customHeight="1">
      <c r="A2037" s="3" t="str">
        <f>"34892021110810334147511"</f>
        <v>34892021110810334147511</v>
      </c>
      <c r="B2037" s="3" t="s">
        <v>428</v>
      </c>
      <c r="C2037" s="3" t="str">
        <f>"林燕梅"</f>
        <v>林燕梅</v>
      </c>
      <c r="D2037" s="3" t="s">
        <v>120</v>
      </c>
    </row>
    <row r="2038" spans="1:4" ht="24.75" customHeight="1">
      <c r="A2038" s="3" t="str">
        <f>"34892021110810335447512"</f>
        <v>34892021110810335447512</v>
      </c>
      <c r="B2038" s="3" t="s">
        <v>428</v>
      </c>
      <c r="C2038" s="3" t="str">
        <f>"王锦颖"</f>
        <v>王锦颖</v>
      </c>
      <c r="D2038" s="3" t="s">
        <v>1750</v>
      </c>
    </row>
    <row r="2039" spans="1:4" ht="24.75" customHeight="1">
      <c r="A2039" s="3" t="str">
        <f>"34892021110810351547514"</f>
        <v>34892021110810351547514</v>
      </c>
      <c r="B2039" s="3" t="s">
        <v>428</v>
      </c>
      <c r="C2039" s="3" t="str">
        <f>"冯立果"</f>
        <v>冯立果</v>
      </c>
      <c r="D2039" s="3" t="s">
        <v>1887</v>
      </c>
    </row>
    <row r="2040" spans="1:4" ht="24.75" customHeight="1">
      <c r="A2040" s="3" t="str">
        <f>"34892021110810353547515"</f>
        <v>34892021110810353547515</v>
      </c>
      <c r="B2040" s="3" t="s">
        <v>428</v>
      </c>
      <c r="C2040" s="3" t="str">
        <f>"王越"</f>
        <v>王越</v>
      </c>
      <c r="D2040" s="3" t="s">
        <v>441</v>
      </c>
    </row>
    <row r="2041" spans="1:4" ht="24.75" customHeight="1">
      <c r="A2041" s="3" t="str">
        <f>"34892021110810375447518"</f>
        <v>34892021110810375447518</v>
      </c>
      <c r="B2041" s="3" t="s">
        <v>428</v>
      </c>
      <c r="C2041" s="3" t="str">
        <f>"许少怡"</f>
        <v>许少怡</v>
      </c>
      <c r="D2041" s="3" t="s">
        <v>1888</v>
      </c>
    </row>
    <row r="2042" spans="1:4" ht="24.75" customHeight="1">
      <c r="A2042" s="3" t="str">
        <f>"34892021110810403347521"</f>
        <v>34892021110810403347521</v>
      </c>
      <c r="B2042" s="3" t="s">
        <v>428</v>
      </c>
      <c r="C2042" s="3" t="str">
        <f>"庄惠惠"</f>
        <v>庄惠惠</v>
      </c>
      <c r="D2042" s="3" t="s">
        <v>1889</v>
      </c>
    </row>
    <row r="2043" spans="1:4" ht="24.75" customHeight="1">
      <c r="A2043" s="3" t="str">
        <f>"34892021110810404047522"</f>
        <v>34892021110810404047522</v>
      </c>
      <c r="B2043" s="3" t="s">
        <v>428</v>
      </c>
      <c r="C2043" s="3" t="str">
        <f>"李嘉期"</f>
        <v>李嘉期</v>
      </c>
      <c r="D2043" s="3" t="s">
        <v>1890</v>
      </c>
    </row>
    <row r="2044" spans="1:4" ht="24.75" customHeight="1">
      <c r="A2044" s="3" t="str">
        <f>"34892021110810423747525"</f>
        <v>34892021110810423747525</v>
      </c>
      <c r="B2044" s="3" t="s">
        <v>428</v>
      </c>
      <c r="C2044" s="3" t="str">
        <f>"符谙潇"</f>
        <v>符谙潇</v>
      </c>
      <c r="D2044" s="3" t="s">
        <v>1891</v>
      </c>
    </row>
    <row r="2045" spans="1:4" ht="24.75" customHeight="1">
      <c r="A2045" s="3" t="str">
        <f>"34892021110810465247530"</f>
        <v>34892021110810465247530</v>
      </c>
      <c r="B2045" s="3" t="s">
        <v>428</v>
      </c>
      <c r="C2045" s="3" t="str">
        <f>"李开德"</f>
        <v>李开德</v>
      </c>
      <c r="D2045" s="3" t="s">
        <v>1892</v>
      </c>
    </row>
    <row r="2046" spans="1:4" ht="24.75" customHeight="1">
      <c r="A2046" s="3" t="str">
        <f>"34892021110810465747531"</f>
        <v>34892021110810465747531</v>
      </c>
      <c r="B2046" s="3" t="s">
        <v>428</v>
      </c>
      <c r="C2046" s="3" t="str">
        <f>"陈金敏"</f>
        <v>陈金敏</v>
      </c>
      <c r="D2046" s="3" t="s">
        <v>1893</v>
      </c>
    </row>
    <row r="2047" spans="1:4" ht="24.75" customHeight="1">
      <c r="A2047" s="3" t="str">
        <f>"34892021110810482747534"</f>
        <v>34892021110810482747534</v>
      </c>
      <c r="B2047" s="3" t="s">
        <v>428</v>
      </c>
      <c r="C2047" s="3" t="str">
        <f>"李英"</f>
        <v>李英</v>
      </c>
      <c r="D2047" s="3" t="s">
        <v>1894</v>
      </c>
    </row>
    <row r="2048" spans="1:4" ht="24.75" customHeight="1">
      <c r="A2048" s="3" t="str">
        <f>"34892021110810535147538"</f>
        <v>34892021110810535147538</v>
      </c>
      <c r="B2048" s="3" t="s">
        <v>428</v>
      </c>
      <c r="C2048" s="3" t="str">
        <f>"王涛"</f>
        <v>王涛</v>
      </c>
      <c r="D2048" s="3" t="s">
        <v>1895</v>
      </c>
    </row>
    <row r="2049" spans="1:4" ht="24.75" customHeight="1">
      <c r="A2049" s="3" t="str">
        <f>"34892021110811063547555"</f>
        <v>34892021110811063547555</v>
      </c>
      <c r="B2049" s="3" t="s">
        <v>428</v>
      </c>
      <c r="C2049" s="3" t="str">
        <f>"陈俊怡"</f>
        <v>陈俊怡</v>
      </c>
      <c r="D2049" s="3" t="s">
        <v>1896</v>
      </c>
    </row>
    <row r="2050" spans="1:4" ht="24.75" customHeight="1">
      <c r="A2050" s="3" t="str">
        <f>"34892021110811084647560"</f>
        <v>34892021110811084647560</v>
      </c>
      <c r="B2050" s="3" t="s">
        <v>428</v>
      </c>
      <c r="C2050" s="3" t="str">
        <f>"吴光培"</f>
        <v>吴光培</v>
      </c>
      <c r="D2050" s="3" t="s">
        <v>1219</v>
      </c>
    </row>
    <row r="2051" spans="1:4" ht="24.75" customHeight="1">
      <c r="A2051" s="3" t="str">
        <f>"34892021110811090947562"</f>
        <v>34892021110811090947562</v>
      </c>
      <c r="B2051" s="3" t="s">
        <v>428</v>
      </c>
      <c r="C2051" s="3" t="str">
        <f>"唐敏红"</f>
        <v>唐敏红</v>
      </c>
      <c r="D2051" s="3" t="s">
        <v>1897</v>
      </c>
    </row>
    <row r="2052" spans="1:4" ht="24.75" customHeight="1">
      <c r="A2052" s="3" t="str">
        <f>"34892021110811111347564"</f>
        <v>34892021110811111347564</v>
      </c>
      <c r="B2052" s="3" t="s">
        <v>428</v>
      </c>
      <c r="C2052" s="3" t="str">
        <f>"李青蔚"</f>
        <v>李青蔚</v>
      </c>
      <c r="D2052" s="3" t="s">
        <v>1898</v>
      </c>
    </row>
    <row r="2053" spans="1:4" ht="24.75" customHeight="1">
      <c r="A2053" s="3" t="str">
        <f>"34892021110811141247569"</f>
        <v>34892021110811141247569</v>
      </c>
      <c r="B2053" s="3" t="s">
        <v>428</v>
      </c>
      <c r="C2053" s="3" t="str">
        <f>"李永发"</f>
        <v>李永发</v>
      </c>
      <c r="D2053" s="3" t="s">
        <v>1899</v>
      </c>
    </row>
    <row r="2054" spans="1:4" ht="24.75" customHeight="1">
      <c r="A2054" s="3" t="str">
        <f>"34892021110811192347576"</f>
        <v>34892021110811192347576</v>
      </c>
      <c r="B2054" s="3" t="s">
        <v>428</v>
      </c>
      <c r="C2054" s="3" t="str">
        <f>"苏助"</f>
        <v>苏助</v>
      </c>
      <c r="D2054" s="3" t="s">
        <v>1900</v>
      </c>
    </row>
    <row r="2055" spans="1:4" ht="24.75" customHeight="1">
      <c r="A2055" s="3" t="str">
        <f>"34892021110811263347585"</f>
        <v>34892021110811263347585</v>
      </c>
      <c r="B2055" s="3" t="s">
        <v>428</v>
      </c>
      <c r="C2055" s="3" t="str">
        <f>"曾乙刚"</f>
        <v>曾乙刚</v>
      </c>
      <c r="D2055" s="3" t="s">
        <v>1871</v>
      </c>
    </row>
    <row r="2056" spans="1:4" ht="24.75" customHeight="1">
      <c r="A2056" s="3" t="str">
        <f>"34892021110811322447596"</f>
        <v>34892021110811322447596</v>
      </c>
      <c r="B2056" s="3" t="s">
        <v>428</v>
      </c>
      <c r="C2056" s="3" t="str">
        <f>"黄世权"</f>
        <v>黄世权</v>
      </c>
      <c r="D2056" s="3" t="s">
        <v>1901</v>
      </c>
    </row>
    <row r="2057" spans="1:4" ht="24.75" customHeight="1">
      <c r="A2057" s="3" t="str">
        <f>"34892021110811331047598"</f>
        <v>34892021110811331047598</v>
      </c>
      <c r="B2057" s="3" t="s">
        <v>428</v>
      </c>
      <c r="C2057" s="3" t="str">
        <f>"邢翠怡"</f>
        <v>邢翠怡</v>
      </c>
      <c r="D2057" s="3" t="s">
        <v>1902</v>
      </c>
    </row>
    <row r="2058" spans="1:4" ht="24.75" customHeight="1">
      <c r="A2058" s="3" t="str">
        <f>"34892021110811351947601"</f>
        <v>34892021110811351947601</v>
      </c>
      <c r="B2058" s="3" t="s">
        <v>428</v>
      </c>
      <c r="C2058" s="3" t="str">
        <f>"王群源"</f>
        <v>王群源</v>
      </c>
      <c r="D2058" s="3" t="s">
        <v>1624</v>
      </c>
    </row>
    <row r="2059" spans="1:4" ht="24.75" customHeight="1">
      <c r="A2059" s="3" t="str">
        <f>"34892021110811353847602"</f>
        <v>34892021110811353847602</v>
      </c>
      <c r="B2059" s="3" t="s">
        <v>428</v>
      </c>
      <c r="C2059" s="3" t="str">
        <f>"吴浩东"</f>
        <v>吴浩东</v>
      </c>
      <c r="D2059" s="3" t="s">
        <v>1903</v>
      </c>
    </row>
    <row r="2060" spans="1:4" ht="24.75" customHeight="1">
      <c r="A2060" s="3" t="str">
        <f>"34892021110811360047604"</f>
        <v>34892021110811360047604</v>
      </c>
      <c r="B2060" s="3" t="s">
        <v>428</v>
      </c>
      <c r="C2060" s="3" t="str">
        <f>"陈秋如"</f>
        <v>陈秋如</v>
      </c>
      <c r="D2060" s="3" t="s">
        <v>1904</v>
      </c>
    </row>
    <row r="2061" spans="1:4" ht="24.75" customHeight="1">
      <c r="A2061" s="3" t="str">
        <f>"34892021110811440847616"</f>
        <v>34892021110811440847616</v>
      </c>
      <c r="B2061" s="3" t="s">
        <v>428</v>
      </c>
      <c r="C2061" s="3" t="str">
        <f>"黎传迅"</f>
        <v>黎传迅</v>
      </c>
      <c r="D2061" s="3" t="s">
        <v>1905</v>
      </c>
    </row>
    <row r="2062" spans="1:4" ht="24.75" customHeight="1">
      <c r="A2062" s="3" t="str">
        <f>"34892021110811450447618"</f>
        <v>34892021110811450447618</v>
      </c>
      <c r="B2062" s="3" t="s">
        <v>428</v>
      </c>
      <c r="C2062" s="3" t="str">
        <f>"林婵"</f>
        <v>林婵</v>
      </c>
      <c r="D2062" s="3" t="s">
        <v>1906</v>
      </c>
    </row>
    <row r="2063" spans="1:4" ht="24.75" customHeight="1">
      <c r="A2063" s="3" t="str">
        <f>"34892021110811465047623"</f>
        <v>34892021110811465047623</v>
      </c>
      <c r="B2063" s="3" t="s">
        <v>428</v>
      </c>
      <c r="C2063" s="3" t="str">
        <f>"洪道明"</f>
        <v>洪道明</v>
      </c>
      <c r="D2063" s="3" t="s">
        <v>1907</v>
      </c>
    </row>
    <row r="2064" spans="1:4" ht="24.75" customHeight="1">
      <c r="A2064" s="3" t="str">
        <f>"34892021110811473547625"</f>
        <v>34892021110811473547625</v>
      </c>
      <c r="B2064" s="3" t="s">
        <v>428</v>
      </c>
      <c r="C2064" s="3" t="str">
        <f>"莫春梅"</f>
        <v>莫春梅</v>
      </c>
      <c r="D2064" s="3" t="s">
        <v>1908</v>
      </c>
    </row>
    <row r="2065" spans="1:4" ht="24.75" customHeight="1">
      <c r="A2065" s="3" t="str">
        <f>"34892021110811484947627"</f>
        <v>34892021110811484947627</v>
      </c>
      <c r="B2065" s="3" t="s">
        <v>428</v>
      </c>
      <c r="C2065" s="3" t="str">
        <f>"邢维纲"</f>
        <v>邢维纲</v>
      </c>
      <c r="D2065" s="3" t="s">
        <v>951</v>
      </c>
    </row>
    <row r="2066" spans="1:4" ht="24.75" customHeight="1">
      <c r="A2066" s="3" t="str">
        <f>"34892021110811495847629"</f>
        <v>34892021110811495847629</v>
      </c>
      <c r="B2066" s="3" t="s">
        <v>428</v>
      </c>
      <c r="C2066" s="3" t="str">
        <f>"刘扬燕"</f>
        <v>刘扬燕</v>
      </c>
      <c r="D2066" s="3" t="s">
        <v>1909</v>
      </c>
    </row>
    <row r="2067" spans="1:4" ht="24.75" customHeight="1">
      <c r="A2067" s="3" t="str">
        <f>"34892021110811520047633"</f>
        <v>34892021110811520047633</v>
      </c>
      <c r="B2067" s="3" t="s">
        <v>428</v>
      </c>
      <c r="C2067" s="3" t="str">
        <f>"黄丽娟"</f>
        <v>黄丽娟</v>
      </c>
      <c r="D2067" s="3" t="s">
        <v>1910</v>
      </c>
    </row>
    <row r="2068" spans="1:4" ht="24.75" customHeight="1">
      <c r="A2068" s="3" t="str">
        <f>"34892021110811522547638"</f>
        <v>34892021110811522547638</v>
      </c>
      <c r="B2068" s="3" t="s">
        <v>428</v>
      </c>
      <c r="C2068" s="3" t="str">
        <f>"李博"</f>
        <v>李博</v>
      </c>
      <c r="D2068" s="3" t="s">
        <v>1911</v>
      </c>
    </row>
    <row r="2069" spans="1:4" ht="24.75" customHeight="1">
      <c r="A2069" s="3" t="str">
        <f>"34892021110811525047639"</f>
        <v>34892021110811525047639</v>
      </c>
      <c r="B2069" s="3" t="s">
        <v>428</v>
      </c>
      <c r="C2069" s="3" t="str">
        <f>"徐竞"</f>
        <v>徐竞</v>
      </c>
      <c r="D2069" s="3" t="s">
        <v>745</v>
      </c>
    </row>
    <row r="2070" spans="1:4" ht="24.75" customHeight="1">
      <c r="A2070" s="3" t="str">
        <f>"34892021110811534947641"</f>
        <v>34892021110811534947641</v>
      </c>
      <c r="B2070" s="3" t="s">
        <v>428</v>
      </c>
      <c r="C2070" s="3" t="str">
        <f>"陈运明"</f>
        <v>陈运明</v>
      </c>
      <c r="D2070" s="3" t="s">
        <v>1912</v>
      </c>
    </row>
    <row r="2071" spans="1:4" ht="24.75" customHeight="1">
      <c r="A2071" s="3" t="str">
        <f>"34892021110811551647646"</f>
        <v>34892021110811551647646</v>
      </c>
      <c r="B2071" s="3" t="s">
        <v>428</v>
      </c>
      <c r="C2071" s="3" t="str">
        <f>"周思萌"</f>
        <v>周思萌</v>
      </c>
      <c r="D2071" s="3" t="s">
        <v>1913</v>
      </c>
    </row>
    <row r="2072" spans="1:4" ht="24.75" customHeight="1">
      <c r="A2072" s="3" t="str">
        <f>"34892021110811584847650"</f>
        <v>34892021110811584847650</v>
      </c>
      <c r="B2072" s="3" t="s">
        <v>428</v>
      </c>
      <c r="C2072" s="3" t="str">
        <f>"刘珏"</f>
        <v>刘珏</v>
      </c>
      <c r="D2072" s="3" t="s">
        <v>1914</v>
      </c>
    </row>
    <row r="2073" spans="1:4" ht="24.75" customHeight="1">
      <c r="A2073" s="3" t="str">
        <f>"34892021110811585047651"</f>
        <v>34892021110811585047651</v>
      </c>
      <c r="B2073" s="3" t="s">
        <v>428</v>
      </c>
      <c r="C2073" s="3" t="str">
        <f>"邢丽雅"</f>
        <v>邢丽雅</v>
      </c>
      <c r="D2073" s="3" t="s">
        <v>1915</v>
      </c>
    </row>
    <row r="2074" spans="1:4" ht="24.75" customHeight="1">
      <c r="A2074" s="3" t="str">
        <f>"34892021110812024247654"</f>
        <v>34892021110812024247654</v>
      </c>
      <c r="B2074" s="3" t="s">
        <v>428</v>
      </c>
      <c r="C2074" s="3" t="str">
        <f>"徐晗"</f>
        <v>徐晗</v>
      </c>
      <c r="D2074" s="3" t="s">
        <v>1916</v>
      </c>
    </row>
    <row r="2075" spans="1:4" ht="24.75" customHeight="1">
      <c r="A2075" s="3" t="str">
        <f>"34892021110812070847657"</f>
        <v>34892021110812070847657</v>
      </c>
      <c r="B2075" s="3" t="s">
        <v>428</v>
      </c>
      <c r="C2075" s="3" t="str">
        <f>"吴李保"</f>
        <v>吴李保</v>
      </c>
      <c r="D2075" s="3" t="s">
        <v>1917</v>
      </c>
    </row>
    <row r="2076" spans="1:4" ht="24.75" customHeight="1">
      <c r="A2076" s="3" t="str">
        <f>"34892021110812145847665"</f>
        <v>34892021110812145847665</v>
      </c>
      <c r="B2076" s="3" t="s">
        <v>428</v>
      </c>
      <c r="C2076" s="3" t="str">
        <f>"王大业"</f>
        <v>王大业</v>
      </c>
      <c r="D2076" s="3" t="s">
        <v>685</v>
      </c>
    </row>
    <row r="2077" spans="1:4" ht="24.75" customHeight="1">
      <c r="A2077" s="3" t="str">
        <f>"34892021110812185447669"</f>
        <v>34892021110812185447669</v>
      </c>
      <c r="B2077" s="3" t="s">
        <v>428</v>
      </c>
      <c r="C2077" s="3" t="str">
        <f>"王小弟"</f>
        <v>王小弟</v>
      </c>
      <c r="D2077" s="3" t="s">
        <v>1918</v>
      </c>
    </row>
    <row r="2078" spans="1:4" ht="24.75" customHeight="1">
      <c r="A2078" s="3" t="str">
        <f>"34892021110812213247673"</f>
        <v>34892021110812213247673</v>
      </c>
      <c r="B2078" s="3" t="s">
        <v>428</v>
      </c>
      <c r="C2078" s="3" t="str">
        <f>"唐燕萍"</f>
        <v>唐燕萍</v>
      </c>
      <c r="D2078" s="3" t="s">
        <v>1914</v>
      </c>
    </row>
    <row r="2079" spans="1:4" ht="24.75" customHeight="1">
      <c r="A2079" s="3" t="str">
        <f>"34892021110812234847674"</f>
        <v>34892021110812234847674</v>
      </c>
      <c r="B2079" s="3" t="s">
        <v>428</v>
      </c>
      <c r="C2079" s="3" t="str">
        <f>"王莹"</f>
        <v>王莹</v>
      </c>
      <c r="D2079" s="3" t="s">
        <v>1919</v>
      </c>
    </row>
    <row r="2080" spans="1:4" ht="24.75" customHeight="1">
      <c r="A2080" s="3" t="str">
        <f>"34892021110812245247676"</f>
        <v>34892021110812245247676</v>
      </c>
      <c r="B2080" s="3" t="s">
        <v>428</v>
      </c>
      <c r="C2080" s="3" t="str">
        <f>"曾令顺"</f>
        <v>曾令顺</v>
      </c>
      <c r="D2080" s="3" t="s">
        <v>1920</v>
      </c>
    </row>
    <row r="2081" spans="1:4" ht="24.75" customHeight="1">
      <c r="A2081" s="3" t="str">
        <f>"34892021110812322447682"</f>
        <v>34892021110812322447682</v>
      </c>
      <c r="B2081" s="3" t="s">
        <v>428</v>
      </c>
      <c r="C2081" s="3" t="str">
        <f>"冯菁雪"</f>
        <v>冯菁雪</v>
      </c>
      <c r="D2081" s="3" t="s">
        <v>1921</v>
      </c>
    </row>
    <row r="2082" spans="1:4" ht="24.75" customHeight="1">
      <c r="A2082" s="3" t="str">
        <f>"34892021110812324247684"</f>
        <v>34892021110812324247684</v>
      </c>
      <c r="B2082" s="3" t="s">
        <v>428</v>
      </c>
      <c r="C2082" s="3" t="str">
        <f>"许积宏"</f>
        <v>许积宏</v>
      </c>
      <c r="D2082" s="3" t="s">
        <v>1922</v>
      </c>
    </row>
    <row r="2083" spans="1:4" ht="24.75" customHeight="1">
      <c r="A2083" s="3" t="str">
        <f>"34892021110812392247689"</f>
        <v>34892021110812392247689</v>
      </c>
      <c r="B2083" s="3" t="s">
        <v>428</v>
      </c>
      <c r="C2083" s="3" t="str">
        <f>"王暖婷"</f>
        <v>王暖婷</v>
      </c>
      <c r="D2083" s="3" t="s">
        <v>1923</v>
      </c>
    </row>
    <row r="2084" spans="1:4" ht="24.75" customHeight="1">
      <c r="A2084" s="3" t="str">
        <f>"34892021110812421547692"</f>
        <v>34892021110812421547692</v>
      </c>
      <c r="B2084" s="3" t="s">
        <v>428</v>
      </c>
      <c r="C2084" s="3" t="str">
        <f>"陈玮"</f>
        <v>陈玮</v>
      </c>
      <c r="D2084" s="3" t="s">
        <v>1924</v>
      </c>
    </row>
    <row r="2085" spans="1:4" ht="24.75" customHeight="1">
      <c r="A2085" s="3" t="str">
        <f>"34892021110812440647696"</f>
        <v>34892021110812440647696</v>
      </c>
      <c r="B2085" s="3" t="s">
        <v>428</v>
      </c>
      <c r="C2085" s="3" t="str">
        <f>"罗盛洁"</f>
        <v>罗盛洁</v>
      </c>
      <c r="D2085" s="3" t="s">
        <v>1925</v>
      </c>
    </row>
    <row r="2086" spans="1:4" ht="24.75" customHeight="1">
      <c r="A2086" s="3" t="str">
        <f>"34892021110812464547699"</f>
        <v>34892021110812464547699</v>
      </c>
      <c r="B2086" s="3" t="s">
        <v>428</v>
      </c>
      <c r="C2086" s="3" t="str">
        <f>"陈青花"</f>
        <v>陈青花</v>
      </c>
      <c r="D2086" s="3" t="s">
        <v>1926</v>
      </c>
    </row>
    <row r="2087" spans="1:4" ht="24.75" customHeight="1">
      <c r="A2087" s="3" t="str">
        <f>"34892021110812474547700"</f>
        <v>34892021110812474547700</v>
      </c>
      <c r="B2087" s="3" t="s">
        <v>428</v>
      </c>
      <c r="C2087" s="3" t="str">
        <f>"王小妹"</f>
        <v>王小妹</v>
      </c>
      <c r="D2087" s="3" t="s">
        <v>1927</v>
      </c>
    </row>
    <row r="2088" spans="1:4" ht="24.75" customHeight="1">
      <c r="A2088" s="3" t="str">
        <f>"34892021110812503547703"</f>
        <v>34892021110812503547703</v>
      </c>
      <c r="B2088" s="3" t="s">
        <v>428</v>
      </c>
      <c r="C2088" s="3" t="str">
        <f>"邓晶"</f>
        <v>邓晶</v>
      </c>
      <c r="D2088" s="3" t="s">
        <v>1928</v>
      </c>
    </row>
    <row r="2089" spans="1:4" ht="24.75" customHeight="1">
      <c r="A2089" s="3" t="str">
        <f>"34892021110812545147708"</f>
        <v>34892021110812545147708</v>
      </c>
      <c r="B2089" s="3" t="s">
        <v>428</v>
      </c>
      <c r="C2089" s="3" t="str">
        <f>"段小玉"</f>
        <v>段小玉</v>
      </c>
      <c r="D2089" s="3" t="s">
        <v>1788</v>
      </c>
    </row>
    <row r="2090" spans="1:4" ht="24.75" customHeight="1">
      <c r="A2090" s="3" t="str">
        <f>"34892021110812564647712"</f>
        <v>34892021110812564647712</v>
      </c>
      <c r="B2090" s="3" t="s">
        <v>428</v>
      </c>
      <c r="C2090" s="3" t="str">
        <f>"王馥荣"</f>
        <v>王馥荣</v>
      </c>
      <c r="D2090" s="3" t="s">
        <v>1929</v>
      </c>
    </row>
    <row r="2091" spans="1:4" ht="24.75" customHeight="1">
      <c r="A2091" s="3" t="str">
        <f>"34892021110812592347716"</f>
        <v>34892021110812592347716</v>
      </c>
      <c r="B2091" s="3" t="s">
        <v>428</v>
      </c>
      <c r="C2091" s="3" t="str">
        <f>"曾维江"</f>
        <v>曾维江</v>
      </c>
      <c r="D2091" s="3" t="s">
        <v>1930</v>
      </c>
    </row>
    <row r="2092" spans="1:4" ht="24.75" customHeight="1">
      <c r="A2092" s="3" t="str">
        <f>"34892021110812594247717"</f>
        <v>34892021110812594247717</v>
      </c>
      <c r="B2092" s="3" t="s">
        <v>428</v>
      </c>
      <c r="C2092" s="3" t="str">
        <f>"何芬珠"</f>
        <v>何芬珠</v>
      </c>
      <c r="D2092" s="3" t="s">
        <v>1931</v>
      </c>
    </row>
    <row r="2093" spans="1:4" ht="24.75" customHeight="1">
      <c r="A2093" s="3" t="str">
        <f>"34892021110813111047728"</f>
        <v>34892021110813111047728</v>
      </c>
      <c r="B2093" s="3" t="s">
        <v>428</v>
      </c>
      <c r="C2093" s="3" t="str">
        <f>"张霞"</f>
        <v>张霞</v>
      </c>
      <c r="D2093" s="3" t="s">
        <v>1932</v>
      </c>
    </row>
    <row r="2094" spans="1:4" ht="24.75" customHeight="1">
      <c r="A2094" s="3" t="str">
        <f>"34892021110813120047729"</f>
        <v>34892021110813120047729</v>
      </c>
      <c r="B2094" s="3" t="s">
        <v>428</v>
      </c>
      <c r="C2094" s="3" t="str">
        <f>"符圣风"</f>
        <v>符圣风</v>
      </c>
      <c r="D2094" s="3" t="s">
        <v>1933</v>
      </c>
    </row>
    <row r="2095" spans="1:4" ht="24.75" customHeight="1">
      <c r="A2095" s="3" t="str">
        <f>"34892021110813165247734"</f>
        <v>34892021110813165247734</v>
      </c>
      <c r="B2095" s="3" t="s">
        <v>428</v>
      </c>
      <c r="C2095" s="3" t="str">
        <f>"曾迈"</f>
        <v>曾迈</v>
      </c>
      <c r="D2095" s="3" t="s">
        <v>1934</v>
      </c>
    </row>
    <row r="2096" spans="1:4" ht="24.75" customHeight="1">
      <c r="A2096" s="3" t="str">
        <f>"34892021110813170247735"</f>
        <v>34892021110813170247735</v>
      </c>
      <c r="B2096" s="3" t="s">
        <v>428</v>
      </c>
      <c r="C2096" s="3" t="str">
        <f>"穆玉珅"</f>
        <v>穆玉珅</v>
      </c>
      <c r="D2096" s="3" t="s">
        <v>1935</v>
      </c>
    </row>
    <row r="2097" spans="1:4" ht="24.75" customHeight="1">
      <c r="A2097" s="3" t="str">
        <f>"34892021110813173247736"</f>
        <v>34892021110813173247736</v>
      </c>
      <c r="B2097" s="3" t="s">
        <v>428</v>
      </c>
      <c r="C2097" s="3" t="str">
        <f>"郑国霞"</f>
        <v>郑国霞</v>
      </c>
      <c r="D2097" s="3" t="s">
        <v>1936</v>
      </c>
    </row>
    <row r="2098" spans="1:4" ht="24.75" customHeight="1">
      <c r="A2098" s="3" t="str">
        <f>"34892021110813174047737"</f>
        <v>34892021110813174047737</v>
      </c>
      <c r="B2098" s="3" t="s">
        <v>428</v>
      </c>
      <c r="C2098" s="3" t="str">
        <f>"赵继含"</f>
        <v>赵继含</v>
      </c>
      <c r="D2098" s="3" t="s">
        <v>1937</v>
      </c>
    </row>
    <row r="2099" spans="1:4" ht="24.75" customHeight="1">
      <c r="A2099" s="3" t="str">
        <f>"34892021110813180747738"</f>
        <v>34892021110813180747738</v>
      </c>
      <c r="B2099" s="3" t="s">
        <v>428</v>
      </c>
      <c r="C2099" s="3" t="str">
        <f>"许燕舒"</f>
        <v>许燕舒</v>
      </c>
      <c r="D2099" s="3" t="s">
        <v>1938</v>
      </c>
    </row>
    <row r="2100" spans="1:4" ht="24.75" customHeight="1">
      <c r="A2100" s="3" t="str">
        <f>"34892021110813205647741"</f>
        <v>34892021110813205647741</v>
      </c>
      <c r="B2100" s="3" t="s">
        <v>428</v>
      </c>
      <c r="C2100" s="3" t="str">
        <f>"陈芬"</f>
        <v>陈芬</v>
      </c>
      <c r="D2100" s="3" t="s">
        <v>1556</v>
      </c>
    </row>
    <row r="2101" spans="1:4" ht="24.75" customHeight="1">
      <c r="A2101" s="3" t="str">
        <f>"34892021110813440547754"</f>
        <v>34892021110813440547754</v>
      </c>
      <c r="B2101" s="3" t="s">
        <v>428</v>
      </c>
      <c r="C2101" s="3" t="str">
        <f>"吴克彪"</f>
        <v>吴克彪</v>
      </c>
      <c r="D2101" s="3" t="s">
        <v>1939</v>
      </c>
    </row>
    <row r="2102" spans="1:4" ht="24.75" customHeight="1">
      <c r="A2102" s="3" t="str">
        <f>"34892021110813511747760"</f>
        <v>34892021110813511747760</v>
      </c>
      <c r="B2102" s="3" t="s">
        <v>428</v>
      </c>
      <c r="C2102" s="3" t="str">
        <f>"劳庆崇"</f>
        <v>劳庆崇</v>
      </c>
      <c r="D2102" s="3" t="s">
        <v>1940</v>
      </c>
    </row>
    <row r="2103" spans="1:4" ht="24.75" customHeight="1">
      <c r="A2103" s="3" t="str">
        <f>"34892021110813513847761"</f>
        <v>34892021110813513847761</v>
      </c>
      <c r="B2103" s="3" t="s">
        <v>428</v>
      </c>
      <c r="C2103" s="3" t="str">
        <f>"符子娟"</f>
        <v>符子娟</v>
      </c>
      <c r="D2103" s="3" t="s">
        <v>1941</v>
      </c>
    </row>
    <row r="2104" spans="1:4" ht="24.75" customHeight="1">
      <c r="A2104" s="3" t="str">
        <f>"34892021110813570747766"</f>
        <v>34892021110813570747766</v>
      </c>
      <c r="B2104" s="3" t="s">
        <v>428</v>
      </c>
      <c r="C2104" s="3" t="str">
        <f>"符晶晶"</f>
        <v>符晶晶</v>
      </c>
      <c r="D2104" s="3" t="s">
        <v>310</v>
      </c>
    </row>
    <row r="2105" spans="1:4" ht="24.75" customHeight="1">
      <c r="A2105" s="3" t="str">
        <f>"34892021110814021747769"</f>
        <v>34892021110814021747769</v>
      </c>
      <c r="B2105" s="3" t="s">
        <v>428</v>
      </c>
      <c r="C2105" s="3" t="str">
        <f>"邢玉洁"</f>
        <v>邢玉洁</v>
      </c>
      <c r="D2105" s="3" t="s">
        <v>1942</v>
      </c>
    </row>
    <row r="2106" spans="1:4" ht="24.75" customHeight="1">
      <c r="A2106" s="3" t="str">
        <f>"34892021110814044047770"</f>
        <v>34892021110814044047770</v>
      </c>
      <c r="B2106" s="3" t="s">
        <v>428</v>
      </c>
      <c r="C2106" s="3" t="str">
        <f>"吴姗"</f>
        <v>吴姗</v>
      </c>
      <c r="D2106" s="3" t="s">
        <v>1943</v>
      </c>
    </row>
    <row r="2107" spans="1:4" ht="24.75" customHeight="1">
      <c r="A2107" s="3" t="str">
        <f>"34892021110814175547778"</f>
        <v>34892021110814175547778</v>
      </c>
      <c r="B2107" s="3" t="s">
        <v>428</v>
      </c>
      <c r="C2107" s="3" t="str">
        <f>"陆以专"</f>
        <v>陆以专</v>
      </c>
      <c r="D2107" s="3" t="s">
        <v>1944</v>
      </c>
    </row>
    <row r="2108" spans="1:4" ht="24.75" customHeight="1">
      <c r="A2108" s="3" t="str">
        <f>"34892021110814181747779"</f>
        <v>34892021110814181747779</v>
      </c>
      <c r="B2108" s="3" t="s">
        <v>428</v>
      </c>
      <c r="C2108" s="3" t="str">
        <f>"姜桐"</f>
        <v>姜桐</v>
      </c>
      <c r="D2108" s="3" t="s">
        <v>1945</v>
      </c>
    </row>
    <row r="2109" spans="1:4" ht="24.75" customHeight="1">
      <c r="A2109" s="3" t="str">
        <f>"34892021110814204747781"</f>
        <v>34892021110814204747781</v>
      </c>
      <c r="B2109" s="3" t="s">
        <v>428</v>
      </c>
      <c r="C2109" s="3" t="str">
        <f>"符红咪"</f>
        <v>符红咪</v>
      </c>
      <c r="D2109" s="3" t="s">
        <v>1946</v>
      </c>
    </row>
    <row r="2110" spans="1:4" ht="24.75" customHeight="1">
      <c r="A2110" s="3" t="str">
        <f>"34892021110814232147786"</f>
        <v>34892021110814232147786</v>
      </c>
      <c r="B2110" s="3" t="s">
        <v>428</v>
      </c>
      <c r="C2110" s="3" t="str">
        <f>"汪琦"</f>
        <v>汪琦</v>
      </c>
      <c r="D2110" s="3" t="s">
        <v>1947</v>
      </c>
    </row>
    <row r="2111" spans="1:4" ht="24.75" customHeight="1">
      <c r="A2111" s="3" t="str">
        <f>"34892021110814234347787"</f>
        <v>34892021110814234347787</v>
      </c>
      <c r="B2111" s="3" t="s">
        <v>428</v>
      </c>
      <c r="C2111" s="3" t="str">
        <f>"马晓筠"</f>
        <v>马晓筠</v>
      </c>
      <c r="D2111" s="3" t="s">
        <v>1948</v>
      </c>
    </row>
    <row r="2112" spans="1:4" ht="24.75" customHeight="1">
      <c r="A2112" s="3" t="str">
        <f>"34892021110814284647790"</f>
        <v>34892021110814284647790</v>
      </c>
      <c r="B2112" s="3" t="s">
        <v>428</v>
      </c>
      <c r="C2112" s="3" t="str">
        <f>"王时兴"</f>
        <v>王时兴</v>
      </c>
      <c r="D2112" s="3" t="s">
        <v>1949</v>
      </c>
    </row>
    <row r="2113" spans="1:4" ht="24.75" customHeight="1">
      <c r="A2113" s="3" t="str">
        <f>"34892021110814310747792"</f>
        <v>34892021110814310747792</v>
      </c>
      <c r="B2113" s="3" t="s">
        <v>428</v>
      </c>
      <c r="C2113" s="3" t="str">
        <f>"陈秋月"</f>
        <v>陈秋月</v>
      </c>
      <c r="D2113" s="3" t="s">
        <v>1950</v>
      </c>
    </row>
    <row r="2114" spans="1:4" ht="24.75" customHeight="1">
      <c r="A2114" s="3" t="str">
        <f>"34892021110814314747793"</f>
        <v>34892021110814314747793</v>
      </c>
      <c r="B2114" s="3" t="s">
        <v>428</v>
      </c>
      <c r="C2114" s="3" t="str">
        <f>"彭浩欢"</f>
        <v>彭浩欢</v>
      </c>
      <c r="D2114" s="3" t="s">
        <v>1146</v>
      </c>
    </row>
    <row r="2115" spans="1:4" ht="24.75" customHeight="1">
      <c r="A2115" s="3" t="str">
        <f>"34892021110814410247807"</f>
        <v>34892021110814410247807</v>
      </c>
      <c r="B2115" s="3" t="s">
        <v>428</v>
      </c>
      <c r="C2115" s="3" t="str">
        <f>"史新启"</f>
        <v>史新启</v>
      </c>
      <c r="D2115" s="3" t="s">
        <v>1951</v>
      </c>
    </row>
    <row r="2116" spans="1:4" ht="24.75" customHeight="1">
      <c r="A2116" s="3" t="str">
        <f>"34892021110814481847814"</f>
        <v>34892021110814481847814</v>
      </c>
      <c r="B2116" s="3" t="s">
        <v>428</v>
      </c>
      <c r="C2116" s="3" t="str">
        <f>"徐庆理"</f>
        <v>徐庆理</v>
      </c>
      <c r="D2116" s="3" t="s">
        <v>1952</v>
      </c>
    </row>
    <row r="2117" spans="1:4" ht="24.75" customHeight="1">
      <c r="A2117" s="3" t="str">
        <f>"34892021110814484247815"</f>
        <v>34892021110814484247815</v>
      </c>
      <c r="B2117" s="3" t="s">
        <v>428</v>
      </c>
      <c r="C2117" s="3" t="str">
        <f>"吴丽佳"</f>
        <v>吴丽佳</v>
      </c>
      <c r="D2117" s="3" t="s">
        <v>1953</v>
      </c>
    </row>
    <row r="2118" spans="1:4" ht="24.75" customHeight="1">
      <c r="A2118" s="3" t="str">
        <f>"34892021110814484547816"</f>
        <v>34892021110814484547816</v>
      </c>
      <c r="B2118" s="3" t="s">
        <v>428</v>
      </c>
      <c r="C2118" s="3" t="str">
        <f>"陈琪祺"</f>
        <v>陈琪祺</v>
      </c>
      <c r="D2118" s="3" t="s">
        <v>1954</v>
      </c>
    </row>
    <row r="2119" spans="1:4" ht="24.75" customHeight="1">
      <c r="A2119" s="3" t="str">
        <f>"34892021110814494547817"</f>
        <v>34892021110814494547817</v>
      </c>
      <c r="B2119" s="3" t="s">
        <v>428</v>
      </c>
      <c r="C2119" s="3" t="str">
        <f>"林静"</f>
        <v>林静</v>
      </c>
      <c r="D2119" s="3" t="s">
        <v>1955</v>
      </c>
    </row>
    <row r="2120" spans="1:4" ht="24.75" customHeight="1">
      <c r="A2120" s="3" t="str">
        <f>"34892021110814521647821"</f>
        <v>34892021110814521647821</v>
      </c>
      <c r="B2120" s="3" t="s">
        <v>428</v>
      </c>
      <c r="C2120" s="3" t="str">
        <f>"梁翔"</f>
        <v>梁翔</v>
      </c>
      <c r="D2120" s="3" t="s">
        <v>1956</v>
      </c>
    </row>
    <row r="2121" spans="1:4" ht="24.75" customHeight="1">
      <c r="A2121" s="3" t="str">
        <f>"34892021110814545447827"</f>
        <v>34892021110814545447827</v>
      </c>
      <c r="B2121" s="3" t="s">
        <v>428</v>
      </c>
      <c r="C2121" s="3" t="str">
        <f>"彭子津"</f>
        <v>彭子津</v>
      </c>
      <c r="D2121" s="3" t="s">
        <v>984</v>
      </c>
    </row>
    <row r="2122" spans="1:4" ht="24.75" customHeight="1">
      <c r="A2122" s="3" t="str">
        <f>"34892021110814562847828"</f>
        <v>34892021110814562847828</v>
      </c>
      <c r="B2122" s="3" t="s">
        <v>428</v>
      </c>
      <c r="C2122" s="3" t="str">
        <f>"王钰珂"</f>
        <v>王钰珂</v>
      </c>
      <c r="D2122" s="3" t="s">
        <v>1957</v>
      </c>
    </row>
    <row r="2123" spans="1:4" ht="24.75" customHeight="1">
      <c r="A2123" s="3" t="str">
        <f>"34892021110814593447834"</f>
        <v>34892021110814593447834</v>
      </c>
      <c r="B2123" s="3" t="s">
        <v>428</v>
      </c>
      <c r="C2123" s="3" t="str">
        <f>"王咸程"</f>
        <v>王咸程</v>
      </c>
      <c r="D2123" s="3" t="s">
        <v>1958</v>
      </c>
    </row>
    <row r="2124" spans="1:4" ht="24.75" customHeight="1">
      <c r="A2124" s="3" t="str">
        <f>"34892021110815001447839"</f>
        <v>34892021110815001447839</v>
      </c>
      <c r="B2124" s="3" t="s">
        <v>428</v>
      </c>
      <c r="C2124" s="3" t="str">
        <f>"王世标"</f>
        <v>王世标</v>
      </c>
      <c r="D2124" s="3" t="s">
        <v>1959</v>
      </c>
    </row>
    <row r="2125" spans="1:4" ht="24.75" customHeight="1">
      <c r="A2125" s="3" t="str">
        <f>"34892021110815014447841"</f>
        <v>34892021110815014447841</v>
      </c>
      <c r="B2125" s="3" t="s">
        <v>428</v>
      </c>
      <c r="C2125" s="3" t="str">
        <f>"苏美文"</f>
        <v>苏美文</v>
      </c>
      <c r="D2125" s="3" t="s">
        <v>1960</v>
      </c>
    </row>
    <row r="2126" spans="1:4" ht="24.75" customHeight="1">
      <c r="A2126" s="3" t="str">
        <f>"34892021110815113147856"</f>
        <v>34892021110815113147856</v>
      </c>
      <c r="B2126" s="3" t="s">
        <v>428</v>
      </c>
      <c r="C2126" s="3" t="str">
        <f>"林道盛"</f>
        <v>林道盛</v>
      </c>
      <c r="D2126" s="3" t="s">
        <v>1961</v>
      </c>
    </row>
    <row r="2127" spans="1:4" ht="24.75" customHeight="1">
      <c r="A2127" s="3" t="str">
        <f>"34892021110815143747862"</f>
        <v>34892021110815143747862</v>
      </c>
      <c r="B2127" s="3" t="s">
        <v>428</v>
      </c>
      <c r="C2127" s="3" t="str">
        <f>"李长春"</f>
        <v>李长春</v>
      </c>
      <c r="D2127" s="3" t="s">
        <v>1962</v>
      </c>
    </row>
    <row r="2128" spans="1:4" ht="24.75" customHeight="1">
      <c r="A2128" s="3" t="str">
        <f>"34892021110815151447864"</f>
        <v>34892021110815151447864</v>
      </c>
      <c r="B2128" s="3" t="s">
        <v>428</v>
      </c>
      <c r="C2128" s="3" t="str">
        <f>"邓庆君"</f>
        <v>邓庆君</v>
      </c>
      <c r="D2128" s="3" t="s">
        <v>1963</v>
      </c>
    </row>
    <row r="2129" spans="1:4" ht="24.75" customHeight="1">
      <c r="A2129" s="3" t="str">
        <f>"34892021110815153047866"</f>
        <v>34892021110815153047866</v>
      </c>
      <c r="B2129" s="3" t="s">
        <v>428</v>
      </c>
      <c r="C2129" s="3" t="str">
        <f>"韩芳娟"</f>
        <v>韩芳娟</v>
      </c>
      <c r="D2129" s="3" t="s">
        <v>1964</v>
      </c>
    </row>
    <row r="2130" spans="1:4" ht="24.75" customHeight="1">
      <c r="A2130" s="3" t="str">
        <f>"34892021110815231447876"</f>
        <v>34892021110815231447876</v>
      </c>
      <c r="B2130" s="3" t="s">
        <v>428</v>
      </c>
      <c r="C2130" s="3" t="str">
        <f>"曾迅"</f>
        <v>曾迅</v>
      </c>
      <c r="D2130" s="3" t="s">
        <v>1965</v>
      </c>
    </row>
    <row r="2131" spans="1:4" ht="24.75" customHeight="1">
      <c r="A2131" s="3" t="str">
        <f>"34892021110815275447881"</f>
        <v>34892021110815275447881</v>
      </c>
      <c r="B2131" s="3" t="s">
        <v>428</v>
      </c>
      <c r="C2131" s="3" t="str">
        <f>"黄有恒"</f>
        <v>黄有恒</v>
      </c>
      <c r="D2131" s="3" t="s">
        <v>1966</v>
      </c>
    </row>
    <row r="2132" spans="1:4" ht="24.75" customHeight="1">
      <c r="A2132" s="3" t="str">
        <f>"34892021110815322147887"</f>
        <v>34892021110815322147887</v>
      </c>
      <c r="B2132" s="3" t="s">
        <v>428</v>
      </c>
      <c r="C2132" s="3" t="str">
        <f>"李柔葵"</f>
        <v>李柔葵</v>
      </c>
      <c r="D2132" s="3" t="s">
        <v>1967</v>
      </c>
    </row>
    <row r="2133" spans="1:4" ht="24.75" customHeight="1">
      <c r="A2133" s="3" t="str">
        <f>"34892021110815333847889"</f>
        <v>34892021110815333847889</v>
      </c>
      <c r="B2133" s="3" t="s">
        <v>428</v>
      </c>
      <c r="C2133" s="3" t="str">
        <f>"蔡亦亮"</f>
        <v>蔡亦亮</v>
      </c>
      <c r="D2133" s="3" t="s">
        <v>1968</v>
      </c>
    </row>
    <row r="2134" spans="1:4" ht="24.75" customHeight="1">
      <c r="A2134" s="3" t="str">
        <f>"34892021110815372047891"</f>
        <v>34892021110815372047891</v>
      </c>
      <c r="B2134" s="3" t="s">
        <v>428</v>
      </c>
      <c r="C2134" s="3" t="str">
        <f>"符敏鹏"</f>
        <v>符敏鹏</v>
      </c>
      <c r="D2134" s="3" t="s">
        <v>1969</v>
      </c>
    </row>
    <row r="2135" spans="1:4" ht="24.75" customHeight="1">
      <c r="A2135" s="3" t="str">
        <f>"34892021110815412547895"</f>
        <v>34892021110815412547895</v>
      </c>
      <c r="B2135" s="3" t="s">
        <v>428</v>
      </c>
      <c r="C2135" s="3" t="str">
        <f>"郑玉滢"</f>
        <v>郑玉滢</v>
      </c>
      <c r="D2135" s="3" t="s">
        <v>1970</v>
      </c>
    </row>
    <row r="2136" spans="1:4" ht="24.75" customHeight="1">
      <c r="A2136" s="3" t="str">
        <f>"34892021110815434447897"</f>
        <v>34892021110815434447897</v>
      </c>
      <c r="B2136" s="3" t="s">
        <v>428</v>
      </c>
      <c r="C2136" s="3" t="str">
        <f>"羊王海"</f>
        <v>羊王海</v>
      </c>
      <c r="D2136" s="3" t="s">
        <v>1971</v>
      </c>
    </row>
    <row r="2137" spans="1:4" ht="24.75" customHeight="1">
      <c r="A2137" s="3" t="str">
        <f>"34892021110815452247900"</f>
        <v>34892021110815452247900</v>
      </c>
      <c r="B2137" s="3" t="s">
        <v>428</v>
      </c>
      <c r="C2137" s="3" t="str">
        <f>"朱莉鹃"</f>
        <v>朱莉鹃</v>
      </c>
      <c r="D2137" s="3" t="s">
        <v>1972</v>
      </c>
    </row>
    <row r="2138" spans="1:4" ht="24.75" customHeight="1">
      <c r="A2138" s="3" t="str">
        <f>"34892021110815462847901"</f>
        <v>34892021110815462847901</v>
      </c>
      <c r="B2138" s="3" t="s">
        <v>428</v>
      </c>
      <c r="C2138" s="3" t="str">
        <f>"陈国强"</f>
        <v>陈国强</v>
      </c>
      <c r="D2138" s="3" t="s">
        <v>1754</v>
      </c>
    </row>
    <row r="2139" spans="1:4" ht="24.75" customHeight="1">
      <c r="A2139" s="3" t="str">
        <f>"34892021110815470947903"</f>
        <v>34892021110815470947903</v>
      </c>
      <c r="B2139" s="3" t="s">
        <v>428</v>
      </c>
      <c r="C2139" s="3" t="str">
        <f>"吴燕娟"</f>
        <v>吴燕娟</v>
      </c>
      <c r="D2139" s="3" t="s">
        <v>1973</v>
      </c>
    </row>
    <row r="2140" spans="1:4" ht="24.75" customHeight="1">
      <c r="A2140" s="3" t="str">
        <f>"34892021110815471647904"</f>
        <v>34892021110815471647904</v>
      </c>
      <c r="B2140" s="3" t="s">
        <v>428</v>
      </c>
      <c r="C2140" s="3" t="str">
        <f>"李富深"</f>
        <v>李富深</v>
      </c>
      <c r="D2140" s="3" t="s">
        <v>1974</v>
      </c>
    </row>
    <row r="2141" spans="1:4" ht="24.75" customHeight="1">
      <c r="A2141" s="3" t="str">
        <f>"34892021110815512347909"</f>
        <v>34892021110815512347909</v>
      </c>
      <c r="B2141" s="3" t="s">
        <v>428</v>
      </c>
      <c r="C2141" s="3" t="str">
        <f>"谢美欣"</f>
        <v>谢美欣</v>
      </c>
      <c r="D2141" s="3" t="s">
        <v>1975</v>
      </c>
    </row>
    <row r="2142" spans="1:4" ht="24.75" customHeight="1">
      <c r="A2142" s="3" t="str">
        <f>"34892021110816000247923"</f>
        <v>34892021110816000247923</v>
      </c>
      <c r="B2142" s="3" t="s">
        <v>428</v>
      </c>
      <c r="C2142" s="3" t="str">
        <f>"梁珈源"</f>
        <v>梁珈源</v>
      </c>
      <c r="D2142" s="3" t="s">
        <v>1976</v>
      </c>
    </row>
    <row r="2143" spans="1:4" ht="24.75" customHeight="1">
      <c r="A2143" s="3" t="str">
        <f>"34892021110816033247925"</f>
        <v>34892021110816033247925</v>
      </c>
      <c r="B2143" s="3" t="s">
        <v>428</v>
      </c>
      <c r="C2143" s="3" t="str">
        <f>"刘柄"</f>
        <v>刘柄</v>
      </c>
      <c r="D2143" s="3" t="s">
        <v>1977</v>
      </c>
    </row>
    <row r="2144" spans="1:4" ht="24.75" customHeight="1">
      <c r="A2144" s="3" t="str">
        <f>"34892021110816053147929"</f>
        <v>34892021110816053147929</v>
      </c>
      <c r="B2144" s="3" t="s">
        <v>428</v>
      </c>
      <c r="C2144" s="3" t="str">
        <f>"邢贻清"</f>
        <v>邢贻清</v>
      </c>
      <c r="D2144" s="3" t="s">
        <v>1978</v>
      </c>
    </row>
    <row r="2145" spans="1:4" ht="24.75" customHeight="1">
      <c r="A2145" s="3" t="str">
        <f>"34892021110816081647935"</f>
        <v>34892021110816081647935</v>
      </c>
      <c r="B2145" s="3" t="s">
        <v>428</v>
      </c>
      <c r="C2145" s="3" t="str">
        <f>"孙雅娟"</f>
        <v>孙雅娟</v>
      </c>
      <c r="D2145" s="3" t="s">
        <v>1979</v>
      </c>
    </row>
    <row r="2146" spans="1:4" ht="24.75" customHeight="1">
      <c r="A2146" s="3" t="str">
        <f>"34892021110816084147936"</f>
        <v>34892021110816084147936</v>
      </c>
      <c r="B2146" s="3" t="s">
        <v>428</v>
      </c>
      <c r="C2146" s="3" t="str">
        <f>"刘宣宣"</f>
        <v>刘宣宣</v>
      </c>
      <c r="D2146" s="3" t="s">
        <v>1980</v>
      </c>
    </row>
    <row r="2147" spans="1:4" ht="24.75" customHeight="1">
      <c r="A2147" s="3" t="str">
        <f>"34892021110816101047938"</f>
        <v>34892021110816101047938</v>
      </c>
      <c r="B2147" s="3" t="s">
        <v>428</v>
      </c>
      <c r="C2147" s="3" t="str">
        <f>"王叶青"</f>
        <v>王叶青</v>
      </c>
      <c r="D2147" s="3" t="s">
        <v>1981</v>
      </c>
    </row>
    <row r="2148" spans="1:4" ht="24.75" customHeight="1">
      <c r="A2148" s="3" t="str">
        <f>"34892021110816105547939"</f>
        <v>34892021110816105547939</v>
      </c>
      <c r="B2148" s="3" t="s">
        <v>428</v>
      </c>
      <c r="C2148" s="3" t="str">
        <f>"王文"</f>
        <v>王文</v>
      </c>
      <c r="D2148" s="3" t="s">
        <v>1982</v>
      </c>
    </row>
    <row r="2149" spans="1:4" ht="24.75" customHeight="1">
      <c r="A2149" s="3" t="str">
        <f>"34892021110816152447947"</f>
        <v>34892021110816152447947</v>
      </c>
      <c r="B2149" s="3" t="s">
        <v>428</v>
      </c>
      <c r="C2149" s="3" t="str">
        <f>"蔡笃浩"</f>
        <v>蔡笃浩</v>
      </c>
      <c r="D2149" s="3" t="s">
        <v>745</v>
      </c>
    </row>
    <row r="2150" spans="1:4" ht="24.75" customHeight="1">
      <c r="A2150" s="3" t="str">
        <f>"34892021110816155247950"</f>
        <v>34892021110816155247950</v>
      </c>
      <c r="B2150" s="3" t="s">
        <v>428</v>
      </c>
      <c r="C2150" s="3" t="str">
        <f>"吴佳怡"</f>
        <v>吴佳怡</v>
      </c>
      <c r="D2150" s="3" t="s">
        <v>1983</v>
      </c>
    </row>
    <row r="2151" spans="1:4" ht="24.75" customHeight="1">
      <c r="A2151" s="3" t="str">
        <f>"34892021110816163347952"</f>
        <v>34892021110816163347952</v>
      </c>
      <c r="B2151" s="3" t="s">
        <v>428</v>
      </c>
      <c r="C2151" s="3" t="str">
        <f>"梁秀婵"</f>
        <v>梁秀婵</v>
      </c>
      <c r="D2151" s="3" t="s">
        <v>1984</v>
      </c>
    </row>
    <row r="2152" spans="1:4" ht="24.75" customHeight="1">
      <c r="A2152" s="3" t="str">
        <f>"34892021110816182947959"</f>
        <v>34892021110816182947959</v>
      </c>
      <c r="B2152" s="3" t="s">
        <v>428</v>
      </c>
      <c r="C2152" s="3" t="str">
        <f>"王海文"</f>
        <v>王海文</v>
      </c>
      <c r="D2152" s="3" t="s">
        <v>1985</v>
      </c>
    </row>
    <row r="2153" spans="1:4" ht="24.75" customHeight="1">
      <c r="A2153" s="3" t="str">
        <f>"34892021110816340747977"</f>
        <v>34892021110816340747977</v>
      </c>
      <c r="B2153" s="3" t="s">
        <v>428</v>
      </c>
      <c r="C2153" s="3" t="str">
        <f>"杜微"</f>
        <v>杜微</v>
      </c>
      <c r="D2153" s="3" t="s">
        <v>1986</v>
      </c>
    </row>
    <row r="2154" spans="1:4" ht="24.75" customHeight="1">
      <c r="A2154" s="3" t="str">
        <f>"34892021110816351247983"</f>
        <v>34892021110816351247983</v>
      </c>
      <c r="B2154" s="3" t="s">
        <v>428</v>
      </c>
      <c r="C2154" s="3" t="str">
        <f>"符道"</f>
        <v>符道</v>
      </c>
      <c r="D2154" s="3" t="s">
        <v>1562</v>
      </c>
    </row>
    <row r="2155" spans="1:4" ht="24.75" customHeight="1">
      <c r="A2155" s="3" t="str">
        <f>"34892021110816372347986"</f>
        <v>34892021110816372347986</v>
      </c>
      <c r="B2155" s="3" t="s">
        <v>428</v>
      </c>
      <c r="C2155" s="3" t="str">
        <f>"王阳"</f>
        <v>王阳</v>
      </c>
      <c r="D2155" s="3" t="s">
        <v>1987</v>
      </c>
    </row>
    <row r="2156" spans="1:4" ht="24.75" customHeight="1">
      <c r="A2156" s="3" t="str">
        <f>"34892021110816420447996"</f>
        <v>34892021110816420447996</v>
      </c>
      <c r="B2156" s="3" t="s">
        <v>428</v>
      </c>
      <c r="C2156" s="3" t="str">
        <f>"宋佩霞"</f>
        <v>宋佩霞</v>
      </c>
      <c r="D2156" s="3" t="s">
        <v>1988</v>
      </c>
    </row>
    <row r="2157" spans="1:4" ht="24.75" customHeight="1">
      <c r="A2157" s="3" t="str">
        <f>"34892021110816421247997"</f>
        <v>34892021110816421247997</v>
      </c>
      <c r="B2157" s="3" t="s">
        <v>428</v>
      </c>
      <c r="C2157" s="3" t="str">
        <f>"曾文丹"</f>
        <v>曾文丹</v>
      </c>
      <c r="D2157" s="3" t="s">
        <v>1989</v>
      </c>
    </row>
    <row r="2158" spans="1:4" ht="24.75" customHeight="1">
      <c r="A2158" s="3" t="str">
        <f>"34892021110816432147998"</f>
        <v>34892021110816432147998</v>
      </c>
      <c r="B2158" s="3" t="s">
        <v>428</v>
      </c>
      <c r="C2158" s="3" t="str">
        <f>"许梅"</f>
        <v>许梅</v>
      </c>
      <c r="D2158" s="3" t="s">
        <v>1990</v>
      </c>
    </row>
    <row r="2159" spans="1:4" ht="24.75" customHeight="1">
      <c r="A2159" s="3" t="str">
        <f>"34892021110816433047999"</f>
        <v>34892021110816433047999</v>
      </c>
      <c r="B2159" s="3" t="s">
        <v>428</v>
      </c>
      <c r="C2159" s="3" t="str">
        <f>"樊茂荣"</f>
        <v>樊茂荣</v>
      </c>
      <c r="D2159" s="3" t="s">
        <v>1991</v>
      </c>
    </row>
    <row r="2160" spans="1:4" ht="24.75" customHeight="1">
      <c r="A2160" s="3" t="str">
        <f>"34892021110816441648001"</f>
        <v>34892021110816441648001</v>
      </c>
      <c r="B2160" s="3" t="s">
        <v>428</v>
      </c>
      <c r="C2160" s="3" t="str">
        <f>"蔡亲旺"</f>
        <v>蔡亲旺</v>
      </c>
      <c r="D2160" s="3" t="s">
        <v>849</v>
      </c>
    </row>
    <row r="2161" spans="1:4" ht="24.75" customHeight="1">
      <c r="A2161" s="3" t="str">
        <f>"34892021110816452448005"</f>
        <v>34892021110816452448005</v>
      </c>
      <c r="B2161" s="3" t="s">
        <v>428</v>
      </c>
      <c r="C2161" s="3" t="str">
        <f>"欧其章"</f>
        <v>欧其章</v>
      </c>
      <c r="D2161" s="3" t="s">
        <v>1992</v>
      </c>
    </row>
    <row r="2162" spans="1:4" ht="24.75" customHeight="1">
      <c r="A2162" s="3" t="str">
        <f>"34892021110816484348009"</f>
        <v>34892021110816484348009</v>
      </c>
      <c r="B2162" s="3" t="s">
        <v>428</v>
      </c>
      <c r="C2162" s="3" t="str">
        <f>"严芳娜"</f>
        <v>严芳娜</v>
      </c>
      <c r="D2162" s="3" t="s">
        <v>1993</v>
      </c>
    </row>
    <row r="2163" spans="1:4" ht="24.75" customHeight="1">
      <c r="A2163" s="3" t="str">
        <f>"34892021110816495548011"</f>
        <v>34892021110816495548011</v>
      </c>
      <c r="B2163" s="3" t="s">
        <v>428</v>
      </c>
      <c r="C2163" s="3" t="str">
        <f>"符海珑"</f>
        <v>符海珑</v>
      </c>
      <c r="D2163" s="3" t="s">
        <v>721</v>
      </c>
    </row>
    <row r="2164" spans="1:4" ht="24.75" customHeight="1">
      <c r="A2164" s="3" t="str">
        <f>"34892021110816504048012"</f>
        <v>34892021110816504048012</v>
      </c>
      <c r="B2164" s="3" t="s">
        <v>428</v>
      </c>
      <c r="C2164" s="3" t="str">
        <f>"林安娇"</f>
        <v>林安娇</v>
      </c>
      <c r="D2164" s="3" t="s">
        <v>1994</v>
      </c>
    </row>
    <row r="2165" spans="1:4" ht="24.75" customHeight="1">
      <c r="A2165" s="3" t="str">
        <f>"34892021110816555448022"</f>
        <v>34892021110816555448022</v>
      </c>
      <c r="B2165" s="3" t="s">
        <v>428</v>
      </c>
      <c r="C2165" s="3" t="str">
        <f>"冯吉晖"</f>
        <v>冯吉晖</v>
      </c>
      <c r="D2165" s="3" t="s">
        <v>1995</v>
      </c>
    </row>
    <row r="2166" spans="1:4" ht="24.75" customHeight="1">
      <c r="A2166" s="3" t="str">
        <f>"34892021110816560848024"</f>
        <v>34892021110816560848024</v>
      </c>
      <c r="B2166" s="3" t="s">
        <v>428</v>
      </c>
      <c r="C2166" s="3" t="str">
        <f>"吕燕婷"</f>
        <v>吕燕婷</v>
      </c>
      <c r="D2166" s="3" t="s">
        <v>1878</v>
      </c>
    </row>
    <row r="2167" spans="1:4" ht="24.75" customHeight="1">
      <c r="A2167" s="3" t="str">
        <f>"34892021110816581548026"</f>
        <v>34892021110816581548026</v>
      </c>
      <c r="B2167" s="3" t="s">
        <v>428</v>
      </c>
      <c r="C2167" s="3" t="str">
        <f>"李慧慧"</f>
        <v>李慧慧</v>
      </c>
      <c r="D2167" s="3" t="s">
        <v>1996</v>
      </c>
    </row>
    <row r="2168" spans="1:4" ht="24.75" customHeight="1">
      <c r="A2168" s="3" t="str">
        <f>"34892021110816585348027"</f>
        <v>34892021110816585348027</v>
      </c>
      <c r="B2168" s="3" t="s">
        <v>428</v>
      </c>
      <c r="C2168" s="3" t="str">
        <f>"卢代平"</f>
        <v>卢代平</v>
      </c>
      <c r="D2168" s="3" t="s">
        <v>1997</v>
      </c>
    </row>
    <row r="2169" spans="1:4" ht="24.75" customHeight="1">
      <c r="A2169" s="3" t="str">
        <f>"34892021110816592648028"</f>
        <v>34892021110816592648028</v>
      </c>
      <c r="B2169" s="3" t="s">
        <v>428</v>
      </c>
      <c r="C2169" s="3" t="str">
        <f>"杨大召"</f>
        <v>杨大召</v>
      </c>
      <c r="D2169" s="3" t="s">
        <v>1998</v>
      </c>
    </row>
    <row r="2170" spans="1:4" ht="24.75" customHeight="1">
      <c r="A2170" s="3" t="str">
        <f>"34892021110817000148030"</f>
        <v>34892021110817000148030</v>
      </c>
      <c r="B2170" s="3" t="s">
        <v>428</v>
      </c>
      <c r="C2170" s="3" t="str">
        <f>"唐柳妹"</f>
        <v>唐柳妹</v>
      </c>
      <c r="D2170" s="3" t="s">
        <v>1926</v>
      </c>
    </row>
    <row r="2171" spans="1:4" ht="24.75" customHeight="1">
      <c r="A2171" s="3" t="str">
        <f>"34892021110817030848034"</f>
        <v>34892021110817030848034</v>
      </c>
      <c r="B2171" s="3" t="s">
        <v>428</v>
      </c>
      <c r="C2171" s="3" t="str">
        <f>"郭叶芬"</f>
        <v>郭叶芬</v>
      </c>
      <c r="D2171" s="3" t="s">
        <v>1999</v>
      </c>
    </row>
    <row r="2172" spans="1:4" ht="24.75" customHeight="1">
      <c r="A2172" s="3" t="str">
        <f>"34892021110817042548035"</f>
        <v>34892021110817042548035</v>
      </c>
      <c r="B2172" s="3" t="s">
        <v>428</v>
      </c>
      <c r="C2172" s="3" t="str">
        <f>"关万琦"</f>
        <v>关万琦</v>
      </c>
      <c r="D2172" s="3" t="s">
        <v>156</v>
      </c>
    </row>
    <row r="2173" spans="1:4" ht="24.75" customHeight="1">
      <c r="A2173" s="3" t="str">
        <f>"34892021110817134548046"</f>
        <v>34892021110817134548046</v>
      </c>
      <c r="B2173" s="3" t="s">
        <v>428</v>
      </c>
      <c r="C2173" s="3" t="str">
        <f>"罗昌浓"</f>
        <v>罗昌浓</v>
      </c>
      <c r="D2173" s="3" t="s">
        <v>2000</v>
      </c>
    </row>
    <row r="2174" spans="1:4" ht="24.75" customHeight="1">
      <c r="A2174" s="3" t="str">
        <f>"34892021110817154748048"</f>
        <v>34892021110817154748048</v>
      </c>
      <c r="B2174" s="3" t="s">
        <v>428</v>
      </c>
      <c r="C2174" s="3" t="str">
        <f>"黄琪"</f>
        <v>黄琪</v>
      </c>
      <c r="D2174" s="3" t="s">
        <v>2001</v>
      </c>
    </row>
    <row r="2175" spans="1:4" ht="24.75" customHeight="1">
      <c r="A2175" s="3" t="str">
        <f>"34892021110817163348050"</f>
        <v>34892021110817163348050</v>
      </c>
      <c r="B2175" s="3" t="s">
        <v>428</v>
      </c>
      <c r="C2175" s="3" t="str">
        <f>"王兰娟"</f>
        <v>王兰娟</v>
      </c>
      <c r="D2175" s="3" t="s">
        <v>2002</v>
      </c>
    </row>
    <row r="2176" spans="1:4" ht="24.75" customHeight="1">
      <c r="A2176" s="3" t="str">
        <f>"34892021110817305148069"</f>
        <v>34892021110817305148069</v>
      </c>
      <c r="B2176" s="3" t="s">
        <v>428</v>
      </c>
      <c r="C2176" s="3" t="str">
        <f>"李周游"</f>
        <v>李周游</v>
      </c>
      <c r="D2176" s="3" t="s">
        <v>2003</v>
      </c>
    </row>
    <row r="2177" spans="1:4" ht="24.75" customHeight="1">
      <c r="A2177" s="3" t="str">
        <f>"34892021110817354748073"</f>
        <v>34892021110817354748073</v>
      </c>
      <c r="B2177" s="3" t="s">
        <v>428</v>
      </c>
      <c r="C2177" s="3" t="str">
        <f>"王蒙静"</f>
        <v>王蒙静</v>
      </c>
      <c r="D2177" s="3" t="s">
        <v>2004</v>
      </c>
    </row>
    <row r="2178" spans="1:4" ht="24.75" customHeight="1">
      <c r="A2178" s="3" t="str">
        <f>"34892021110817420048081"</f>
        <v>34892021110817420048081</v>
      </c>
      <c r="B2178" s="3" t="s">
        <v>428</v>
      </c>
      <c r="C2178" s="3" t="str">
        <f>"郑晓嘉"</f>
        <v>郑晓嘉</v>
      </c>
      <c r="D2178" s="3" t="s">
        <v>1640</v>
      </c>
    </row>
    <row r="2179" spans="1:4" ht="24.75" customHeight="1">
      <c r="A2179" s="3" t="str">
        <f>"34892021110817420548082"</f>
        <v>34892021110817420548082</v>
      </c>
      <c r="B2179" s="3" t="s">
        <v>428</v>
      </c>
      <c r="C2179" s="3" t="str">
        <f>"吴晓君"</f>
        <v>吴晓君</v>
      </c>
      <c r="D2179" s="3" t="s">
        <v>2005</v>
      </c>
    </row>
    <row r="2180" spans="1:4" ht="24.75" customHeight="1">
      <c r="A2180" s="3" t="str">
        <f>"34892021110817445348086"</f>
        <v>34892021110817445348086</v>
      </c>
      <c r="B2180" s="3" t="s">
        <v>428</v>
      </c>
      <c r="C2180" s="3" t="str">
        <f>"林浩"</f>
        <v>林浩</v>
      </c>
      <c r="D2180" s="3" t="s">
        <v>2006</v>
      </c>
    </row>
    <row r="2181" spans="1:4" ht="24.75" customHeight="1">
      <c r="A2181" s="3" t="str">
        <f>"34892021110817474148089"</f>
        <v>34892021110817474148089</v>
      </c>
      <c r="B2181" s="3" t="s">
        <v>428</v>
      </c>
      <c r="C2181" s="3" t="str">
        <f>"梁崇校"</f>
        <v>梁崇校</v>
      </c>
      <c r="D2181" s="3" t="s">
        <v>2007</v>
      </c>
    </row>
    <row r="2182" spans="1:4" ht="24.75" customHeight="1">
      <c r="A2182" s="3" t="str">
        <f>"34892021110817484448093"</f>
        <v>34892021110817484448093</v>
      </c>
      <c r="B2182" s="3" t="s">
        <v>428</v>
      </c>
      <c r="C2182" s="3" t="str">
        <f>"吴挺达"</f>
        <v>吴挺达</v>
      </c>
      <c r="D2182" s="3" t="s">
        <v>2008</v>
      </c>
    </row>
    <row r="2183" spans="1:4" ht="24.75" customHeight="1">
      <c r="A2183" s="3" t="str">
        <f>"34892021110817501948096"</f>
        <v>34892021110817501948096</v>
      </c>
      <c r="B2183" s="3" t="s">
        <v>428</v>
      </c>
      <c r="C2183" s="3" t="str">
        <f>"王钧遐"</f>
        <v>王钧遐</v>
      </c>
      <c r="D2183" s="3" t="s">
        <v>2009</v>
      </c>
    </row>
    <row r="2184" spans="1:4" ht="24.75" customHeight="1">
      <c r="A2184" s="3" t="str">
        <f>"34892021110817541448102"</f>
        <v>34892021110817541448102</v>
      </c>
      <c r="B2184" s="3" t="s">
        <v>428</v>
      </c>
      <c r="C2184" s="3" t="str">
        <f>"王丹阳"</f>
        <v>王丹阳</v>
      </c>
      <c r="D2184" s="3" t="s">
        <v>2010</v>
      </c>
    </row>
    <row r="2185" spans="1:4" ht="24.75" customHeight="1">
      <c r="A2185" s="3" t="str">
        <f>"34892021110817572348106"</f>
        <v>34892021110817572348106</v>
      </c>
      <c r="B2185" s="3" t="s">
        <v>428</v>
      </c>
      <c r="C2185" s="3" t="str">
        <f>"李晓晶"</f>
        <v>李晓晶</v>
      </c>
      <c r="D2185" s="3" t="s">
        <v>2011</v>
      </c>
    </row>
    <row r="2186" spans="1:4" ht="24.75" customHeight="1">
      <c r="A2186" s="3" t="str">
        <f>"34892021110817580448108"</f>
        <v>34892021110817580448108</v>
      </c>
      <c r="B2186" s="3" t="s">
        <v>428</v>
      </c>
      <c r="C2186" s="3" t="str">
        <f>"韦小妹"</f>
        <v>韦小妹</v>
      </c>
      <c r="D2186" s="3" t="s">
        <v>2012</v>
      </c>
    </row>
    <row r="2187" spans="1:4" ht="24.75" customHeight="1">
      <c r="A2187" s="3" t="str">
        <f>"34892021110818011248113"</f>
        <v>34892021110818011248113</v>
      </c>
      <c r="B2187" s="3" t="s">
        <v>428</v>
      </c>
      <c r="C2187" s="3" t="str">
        <f>"李儒瑞"</f>
        <v>李儒瑞</v>
      </c>
      <c r="D2187" s="3" t="s">
        <v>2013</v>
      </c>
    </row>
    <row r="2188" spans="1:4" ht="24.75" customHeight="1">
      <c r="A2188" s="3" t="str">
        <f>"34892021110818023148116"</f>
        <v>34892021110818023148116</v>
      </c>
      <c r="B2188" s="3" t="s">
        <v>428</v>
      </c>
      <c r="C2188" s="3" t="str">
        <f>"向诗芮"</f>
        <v>向诗芮</v>
      </c>
      <c r="D2188" s="3" t="s">
        <v>2014</v>
      </c>
    </row>
    <row r="2189" spans="1:4" ht="24.75" customHeight="1">
      <c r="A2189" s="3" t="str">
        <f>"34892021110818081848121"</f>
        <v>34892021110818081848121</v>
      </c>
      <c r="B2189" s="3" t="s">
        <v>428</v>
      </c>
      <c r="C2189" s="3" t="str">
        <f>"徐济国"</f>
        <v>徐济国</v>
      </c>
      <c r="D2189" s="3" t="s">
        <v>2015</v>
      </c>
    </row>
    <row r="2190" spans="1:4" ht="24.75" customHeight="1">
      <c r="A2190" s="3" t="str">
        <f>"34892021110818121548127"</f>
        <v>34892021110818121548127</v>
      </c>
      <c r="B2190" s="3" t="s">
        <v>428</v>
      </c>
      <c r="C2190" s="3" t="str">
        <f>"林华妹"</f>
        <v>林华妹</v>
      </c>
      <c r="D2190" s="3" t="s">
        <v>502</v>
      </c>
    </row>
    <row r="2191" spans="1:4" ht="24.75" customHeight="1">
      <c r="A2191" s="3" t="str">
        <f>"34892021110818140148130"</f>
        <v>34892021110818140148130</v>
      </c>
      <c r="B2191" s="3" t="s">
        <v>428</v>
      </c>
      <c r="C2191" s="3" t="str">
        <f>"陈妙婷"</f>
        <v>陈妙婷</v>
      </c>
      <c r="D2191" s="3" t="s">
        <v>2016</v>
      </c>
    </row>
    <row r="2192" spans="1:4" ht="24.75" customHeight="1">
      <c r="A2192" s="3" t="str">
        <f>"34892021110818192648136"</f>
        <v>34892021110818192648136</v>
      </c>
      <c r="B2192" s="3" t="s">
        <v>428</v>
      </c>
      <c r="C2192" s="3" t="str">
        <f>"刘静妃"</f>
        <v>刘静妃</v>
      </c>
      <c r="D2192" s="3" t="s">
        <v>2017</v>
      </c>
    </row>
    <row r="2193" spans="1:4" ht="24.75" customHeight="1">
      <c r="A2193" s="3" t="str">
        <f>"34892021110818303948151"</f>
        <v>34892021110818303948151</v>
      </c>
      <c r="B2193" s="3" t="s">
        <v>428</v>
      </c>
      <c r="C2193" s="3" t="str">
        <f>"刘为智"</f>
        <v>刘为智</v>
      </c>
      <c r="D2193" s="3" t="s">
        <v>2018</v>
      </c>
    </row>
    <row r="2194" spans="1:4" ht="24.75" customHeight="1">
      <c r="A2194" s="3" t="str">
        <f>"34892021110818383648158"</f>
        <v>34892021110818383648158</v>
      </c>
      <c r="B2194" s="3" t="s">
        <v>428</v>
      </c>
      <c r="C2194" s="3" t="str">
        <f>"罗乐"</f>
        <v>罗乐</v>
      </c>
      <c r="D2194" s="3" t="s">
        <v>2019</v>
      </c>
    </row>
    <row r="2195" spans="1:4" ht="24.75" customHeight="1">
      <c r="A2195" s="3" t="str">
        <f>"34892021110818435248161"</f>
        <v>34892021110818435248161</v>
      </c>
      <c r="B2195" s="3" t="s">
        <v>428</v>
      </c>
      <c r="C2195" s="3" t="str">
        <f>"宋智强"</f>
        <v>宋智强</v>
      </c>
      <c r="D2195" s="3" t="s">
        <v>2020</v>
      </c>
    </row>
    <row r="2196" spans="1:4" ht="24.75" customHeight="1">
      <c r="A2196" s="3" t="str">
        <f>"34892021110818444348164"</f>
        <v>34892021110818444348164</v>
      </c>
      <c r="B2196" s="3" t="s">
        <v>428</v>
      </c>
      <c r="C2196" s="3" t="str">
        <f>"章欣"</f>
        <v>章欣</v>
      </c>
      <c r="D2196" s="3" t="s">
        <v>1112</v>
      </c>
    </row>
    <row r="2197" spans="1:4" ht="24.75" customHeight="1">
      <c r="A2197" s="3" t="str">
        <f>"34892021110818464848166"</f>
        <v>34892021110818464848166</v>
      </c>
      <c r="B2197" s="3" t="s">
        <v>428</v>
      </c>
      <c r="C2197" s="3" t="str">
        <f>"林婧娇"</f>
        <v>林婧娇</v>
      </c>
      <c r="D2197" s="3" t="s">
        <v>2021</v>
      </c>
    </row>
    <row r="2198" spans="1:4" ht="24.75" customHeight="1">
      <c r="A2198" s="3" t="str">
        <f>"34892021110818551848175"</f>
        <v>34892021110818551848175</v>
      </c>
      <c r="B2198" s="3" t="s">
        <v>428</v>
      </c>
      <c r="C2198" s="3" t="str">
        <f>"王海威"</f>
        <v>王海威</v>
      </c>
      <c r="D2198" s="3" t="s">
        <v>2022</v>
      </c>
    </row>
    <row r="2199" spans="1:4" ht="24.75" customHeight="1">
      <c r="A2199" s="3" t="str">
        <f>"34892021110818584848182"</f>
        <v>34892021110818584848182</v>
      </c>
      <c r="B2199" s="3" t="s">
        <v>428</v>
      </c>
      <c r="C2199" s="3" t="str">
        <f>"王名圣"</f>
        <v>王名圣</v>
      </c>
      <c r="D2199" s="3" t="s">
        <v>2023</v>
      </c>
    </row>
    <row r="2200" spans="1:4" ht="24.75" customHeight="1">
      <c r="A2200" s="3" t="str">
        <f>"34892021110819054548187"</f>
        <v>34892021110819054548187</v>
      </c>
      <c r="B2200" s="3" t="s">
        <v>428</v>
      </c>
      <c r="C2200" s="3" t="str">
        <f>"蔡波"</f>
        <v>蔡波</v>
      </c>
      <c r="D2200" s="3" t="s">
        <v>2024</v>
      </c>
    </row>
    <row r="2201" spans="1:4" ht="24.75" customHeight="1">
      <c r="A2201" s="3" t="str">
        <f>"34892021110819110048194"</f>
        <v>34892021110819110048194</v>
      </c>
      <c r="B2201" s="3" t="s">
        <v>428</v>
      </c>
      <c r="C2201" s="3" t="str">
        <f>"黄小阳"</f>
        <v>黄小阳</v>
      </c>
      <c r="D2201" s="3" t="s">
        <v>2025</v>
      </c>
    </row>
    <row r="2202" spans="1:4" ht="24.75" customHeight="1">
      <c r="A2202" s="3" t="str">
        <f>"34892021110819144048200"</f>
        <v>34892021110819144048200</v>
      </c>
      <c r="B2202" s="3" t="s">
        <v>428</v>
      </c>
      <c r="C2202" s="3" t="str">
        <f>"罗丽珠"</f>
        <v>罗丽珠</v>
      </c>
      <c r="D2202" s="3" t="s">
        <v>2026</v>
      </c>
    </row>
    <row r="2203" spans="1:4" ht="24.75" customHeight="1">
      <c r="A2203" s="3" t="str">
        <f>"34892021110819144648201"</f>
        <v>34892021110819144648201</v>
      </c>
      <c r="B2203" s="3" t="s">
        <v>428</v>
      </c>
      <c r="C2203" s="3" t="str">
        <f>"王瑜"</f>
        <v>王瑜</v>
      </c>
      <c r="D2203" s="3" t="s">
        <v>2027</v>
      </c>
    </row>
    <row r="2204" spans="1:4" ht="24.75" customHeight="1">
      <c r="A2204" s="3" t="str">
        <f>"34892021110819240448210"</f>
        <v>34892021110819240448210</v>
      </c>
      <c r="B2204" s="3" t="s">
        <v>428</v>
      </c>
      <c r="C2204" s="3" t="str">
        <f>"王宏桦"</f>
        <v>王宏桦</v>
      </c>
      <c r="D2204" s="3" t="s">
        <v>2028</v>
      </c>
    </row>
    <row r="2205" spans="1:4" ht="24.75" customHeight="1">
      <c r="A2205" s="3" t="str">
        <f>"34892021110819264948214"</f>
        <v>34892021110819264948214</v>
      </c>
      <c r="B2205" s="3" t="s">
        <v>428</v>
      </c>
      <c r="C2205" s="3" t="str">
        <f>"戴立茹"</f>
        <v>戴立茹</v>
      </c>
      <c r="D2205" s="3" t="s">
        <v>2029</v>
      </c>
    </row>
    <row r="2206" spans="1:4" ht="24.75" customHeight="1">
      <c r="A2206" s="3" t="str">
        <f>"34892021110819391448234"</f>
        <v>34892021110819391448234</v>
      </c>
      <c r="B2206" s="3" t="s">
        <v>428</v>
      </c>
      <c r="C2206" s="3" t="str">
        <f>"邢敏"</f>
        <v>邢敏</v>
      </c>
      <c r="D2206" s="3" t="s">
        <v>2030</v>
      </c>
    </row>
    <row r="2207" spans="1:4" ht="24.75" customHeight="1">
      <c r="A2207" s="3" t="str">
        <f>"34892021110819451848242"</f>
        <v>34892021110819451848242</v>
      </c>
      <c r="B2207" s="3" t="s">
        <v>428</v>
      </c>
      <c r="C2207" s="3" t="str">
        <f>"吴淑康"</f>
        <v>吴淑康</v>
      </c>
      <c r="D2207" s="3" t="s">
        <v>1447</v>
      </c>
    </row>
    <row r="2208" spans="1:4" ht="24.75" customHeight="1">
      <c r="A2208" s="3" t="str">
        <f>"34892021110819551848254"</f>
        <v>34892021110819551848254</v>
      </c>
      <c r="B2208" s="3" t="s">
        <v>428</v>
      </c>
      <c r="C2208" s="3" t="str">
        <f>"何菁菁"</f>
        <v>何菁菁</v>
      </c>
      <c r="D2208" s="3" t="s">
        <v>2031</v>
      </c>
    </row>
    <row r="2209" spans="1:4" ht="24.75" customHeight="1">
      <c r="A2209" s="3" t="str">
        <f>"34892021110819554748255"</f>
        <v>34892021110819554748255</v>
      </c>
      <c r="B2209" s="3" t="s">
        <v>428</v>
      </c>
      <c r="C2209" s="3" t="str">
        <f>"秦瑞邈"</f>
        <v>秦瑞邈</v>
      </c>
      <c r="D2209" s="3" t="s">
        <v>2032</v>
      </c>
    </row>
    <row r="2210" spans="1:4" ht="24.75" customHeight="1">
      <c r="A2210" s="3" t="str">
        <f>"34892021110819560148256"</f>
        <v>34892021110819560148256</v>
      </c>
      <c r="B2210" s="3" t="s">
        <v>428</v>
      </c>
      <c r="C2210" s="3" t="str">
        <f>"谭常烜"</f>
        <v>谭常烜</v>
      </c>
      <c r="D2210" s="3" t="s">
        <v>937</v>
      </c>
    </row>
    <row r="2211" spans="1:4" ht="24.75" customHeight="1">
      <c r="A2211" s="3" t="str">
        <f>"34892021110819571248259"</f>
        <v>34892021110819571248259</v>
      </c>
      <c r="B2211" s="3" t="s">
        <v>428</v>
      </c>
      <c r="C2211" s="3" t="str">
        <f>"潘玉玲"</f>
        <v>潘玉玲</v>
      </c>
      <c r="D2211" s="3" t="s">
        <v>683</v>
      </c>
    </row>
    <row r="2212" spans="1:4" ht="24.75" customHeight="1">
      <c r="A2212" s="3" t="str">
        <f>"34892021110819590548261"</f>
        <v>34892021110819590548261</v>
      </c>
      <c r="B2212" s="3" t="s">
        <v>428</v>
      </c>
      <c r="C2212" s="3" t="str">
        <f>"林录奋"</f>
        <v>林录奋</v>
      </c>
      <c r="D2212" s="3" t="s">
        <v>2033</v>
      </c>
    </row>
    <row r="2213" spans="1:4" ht="24.75" customHeight="1">
      <c r="A2213" s="3" t="str">
        <f>"34892021110820001148265"</f>
        <v>34892021110820001148265</v>
      </c>
      <c r="B2213" s="3" t="s">
        <v>428</v>
      </c>
      <c r="C2213" s="3" t="str">
        <f>"孙婧莹"</f>
        <v>孙婧莹</v>
      </c>
      <c r="D2213" s="3" t="s">
        <v>1023</v>
      </c>
    </row>
    <row r="2214" spans="1:4" ht="24.75" customHeight="1">
      <c r="A2214" s="3" t="str">
        <f>"34892021110820024348269"</f>
        <v>34892021110820024348269</v>
      </c>
      <c r="B2214" s="3" t="s">
        <v>428</v>
      </c>
      <c r="C2214" s="3" t="str">
        <f>"柯桃汉"</f>
        <v>柯桃汉</v>
      </c>
      <c r="D2214" s="3" t="s">
        <v>2034</v>
      </c>
    </row>
    <row r="2215" spans="1:4" ht="24.75" customHeight="1">
      <c r="A2215" s="3" t="str">
        <f>"34892021110820062348273"</f>
        <v>34892021110820062348273</v>
      </c>
      <c r="B2215" s="3" t="s">
        <v>428</v>
      </c>
      <c r="C2215" s="3" t="str">
        <f>"郑立书"</f>
        <v>郑立书</v>
      </c>
      <c r="D2215" s="3" t="s">
        <v>2035</v>
      </c>
    </row>
    <row r="2216" spans="1:4" ht="24.75" customHeight="1">
      <c r="A2216" s="3" t="str">
        <f>"34892021110820081848277"</f>
        <v>34892021110820081848277</v>
      </c>
      <c r="B2216" s="3" t="s">
        <v>428</v>
      </c>
      <c r="C2216" s="3" t="str">
        <f>"吴萱"</f>
        <v>吴萱</v>
      </c>
      <c r="D2216" s="3" t="s">
        <v>2036</v>
      </c>
    </row>
    <row r="2217" spans="1:4" ht="24.75" customHeight="1">
      <c r="A2217" s="3" t="str">
        <f>"34892021110820091248279"</f>
        <v>34892021110820091248279</v>
      </c>
      <c r="B2217" s="3" t="s">
        <v>428</v>
      </c>
      <c r="C2217" s="3" t="str">
        <f>"谢家明"</f>
        <v>谢家明</v>
      </c>
      <c r="D2217" s="3" t="s">
        <v>2037</v>
      </c>
    </row>
    <row r="2218" spans="1:4" ht="24.75" customHeight="1">
      <c r="A2218" s="3" t="str">
        <f>"34892021110820140448285"</f>
        <v>34892021110820140448285</v>
      </c>
      <c r="B2218" s="3" t="s">
        <v>428</v>
      </c>
      <c r="C2218" s="3" t="str">
        <f>"王玲转"</f>
        <v>王玲转</v>
      </c>
      <c r="D2218" s="3" t="s">
        <v>2038</v>
      </c>
    </row>
    <row r="2219" spans="1:4" ht="24.75" customHeight="1">
      <c r="A2219" s="3" t="str">
        <f>"34892021110820153148289"</f>
        <v>34892021110820153148289</v>
      </c>
      <c r="B2219" s="3" t="s">
        <v>428</v>
      </c>
      <c r="C2219" s="3" t="str">
        <f>"徐伟姣"</f>
        <v>徐伟姣</v>
      </c>
      <c r="D2219" s="3" t="s">
        <v>2039</v>
      </c>
    </row>
    <row r="2220" spans="1:4" ht="24.75" customHeight="1">
      <c r="A2220" s="3" t="str">
        <f>"34892021110820163648293"</f>
        <v>34892021110820163648293</v>
      </c>
      <c r="B2220" s="3" t="s">
        <v>428</v>
      </c>
      <c r="C2220" s="3" t="str">
        <f>"陈祥"</f>
        <v>陈祥</v>
      </c>
      <c r="D2220" s="3" t="s">
        <v>2040</v>
      </c>
    </row>
    <row r="2221" spans="1:4" ht="24.75" customHeight="1">
      <c r="A2221" s="3" t="str">
        <f>"34892021110820194848299"</f>
        <v>34892021110820194848299</v>
      </c>
      <c r="B2221" s="3" t="s">
        <v>428</v>
      </c>
      <c r="C2221" s="3" t="str">
        <f>"罗琼欣"</f>
        <v>罗琼欣</v>
      </c>
      <c r="D2221" s="3" t="s">
        <v>2041</v>
      </c>
    </row>
    <row r="2222" spans="1:4" ht="24.75" customHeight="1">
      <c r="A2222" s="3" t="str">
        <f>"34892021110820234048310"</f>
        <v>34892021110820234048310</v>
      </c>
      <c r="B2222" s="3" t="s">
        <v>428</v>
      </c>
      <c r="C2222" s="3" t="str">
        <f>"姜垂联"</f>
        <v>姜垂联</v>
      </c>
      <c r="D2222" s="3" t="s">
        <v>1690</v>
      </c>
    </row>
    <row r="2223" spans="1:4" ht="24.75" customHeight="1">
      <c r="A2223" s="3" t="str">
        <f>"34892021110820245348314"</f>
        <v>34892021110820245348314</v>
      </c>
      <c r="B2223" s="3" t="s">
        <v>428</v>
      </c>
      <c r="C2223" s="3" t="str">
        <f>"王首帆"</f>
        <v>王首帆</v>
      </c>
      <c r="D2223" s="3" t="s">
        <v>726</v>
      </c>
    </row>
    <row r="2224" spans="1:4" ht="24.75" customHeight="1">
      <c r="A2224" s="3" t="str">
        <f>"34892021110820251348315"</f>
        <v>34892021110820251348315</v>
      </c>
      <c r="B2224" s="3" t="s">
        <v>428</v>
      </c>
      <c r="C2224" s="3" t="str">
        <f>"吴有亮"</f>
        <v>吴有亮</v>
      </c>
      <c r="D2224" s="3" t="s">
        <v>2042</v>
      </c>
    </row>
    <row r="2225" spans="1:4" ht="24.75" customHeight="1">
      <c r="A2225" s="3" t="str">
        <f>"34892021110820304748325"</f>
        <v>34892021110820304748325</v>
      </c>
      <c r="B2225" s="3" t="s">
        <v>428</v>
      </c>
      <c r="C2225" s="3" t="str">
        <f>"刘计兵"</f>
        <v>刘计兵</v>
      </c>
      <c r="D2225" s="3" t="s">
        <v>2043</v>
      </c>
    </row>
    <row r="2226" spans="1:4" ht="24.75" customHeight="1">
      <c r="A2226" s="3" t="str">
        <f>"34892021110820320148327"</f>
        <v>34892021110820320148327</v>
      </c>
      <c r="B2226" s="3" t="s">
        <v>428</v>
      </c>
      <c r="C2226" s="3" t="str">
        <f>"周珊妃"</f>
        <v>周珊妃</v>
      </c>
      <c r="D2226" s="3" t="s">
        <v>2044</v>
      </c>
    </row>
    <row r="2227" spans="1:4" ht="24.75" customHeight="1">
      <c r="A2227" s="3" t="str">
        <f>"34892021110820330948330"</f>
        <v>34892021110820330948330</v>
      </c>
      <c r="B2227" s="3" t="s">
        <v>428</v>
      </c>
      <c r="C2227" s="3" t="str">
        <f>"仝宇鑫"</f>
        <v>仝宇鑫</v>
      </c>
      <c r="D2227" s="3" t="s">
        <v>2045</v>
      </c>
    </row>
    <row r="2228" spans="1:4" ht="24.75" customHeight="1">
      <c r="A2228" s="3" t="str">
        <f>"34892021110820340748335"</f>
        <v>34892021110820340748335</v>
      </c>
      <c r="B2228" s="3" t="s">
        <v>428</v>
      </c>
      <c r="C2228" s="3" t="str">
        <f>"胡海韵"</f>
        <v>胡海韵</v>
      </c>
      <c r="D2228" s="3" t="s">
        <v>2046</v>
      </c>
    </row>
    <row r="2229" spans="1:4" ht="24.75" customHeight="1">
      <c r="A2229" s="3" t="str">
        <f>"34892021110820365048339"</f>
        <v>34892021110820365048339</v>
      </c>
      <c r="B2229" s="3" t="s">
        <v>428</v>
      </c>
      <c r="C2229" s="3" t="str">
        <f>"吴诗琦"</f>
        <v>吴诗琦</v>
      </c>
      <c r="D2229" s="3" t="s">
        <v>2047</v>
      </c>
    </row>
    <row r="2230" spans="1:4" ht="24.75" customHeight="1">
      <c r="A2230" s="3" t="str">
        <f>"34892021110820380148342"</f>
        <v>34892021110820380148342</v>
      </c>
      <c r="B2230" s="3" t="s">
        <v>428</v>
      </c>
      <c r="C2230" s="3" t="str">
        <f>"王小云"</f>
        <v>王小云</v>
      </c>
      <c r="D2230" s="3" t="s">
        <v>2048</v>
      </c>
    </row>
    <row r="2231" spans="1:4" ht="24.75" customHeight="1">
      <c r="A2231" s="3" t="str">
        <f>"34892021110820383148343"</f>
        <v>34892021110820383148343</v>
      </c>
      <c r="B2231" s="3" t="s">
        <v>428</v>
      </c>
      <c r="C2231" s="3" t="str">
        <f>"陈敏敏"</f>
        <v>陈敏敏</v>
      </c>
      <c r="D2231" s="3" t="s">
        <v>2049</v>
      </c>
    </row>
    <row r="2232" spans="1:4" ht="24.75" customHeight="1">
      <c r="A2232" s="3" t="str">
        <f>"34892021110820481548360"</f>
        <v>34892021110820481548360</v>
      </c>
      <c r="B2232" s="3" t="s">
        <v>428</v>
      </c>
      <c r="C2232" s="3" t="str">
        <f>"陈锋"</f>
        <v>陈锋</v>
      </c>
      <c r="D2232" s="3" t="s">
        <v>2050</v>
      </c>
    </row>
    <row r="2233" spans="1:4" ht="24.75" customHeight="1">
      <c r="A2233" s="3" t="str">
        <f>"34892021110820485748361"</f>
        <v>34892021110820485748361</v>
      </c>
      <c r="B2233" s="3" t="s">
        <v>428</v>
      </c>
      <c r="C2233" s="3" t="str">
        <f>"谢伟新"</f>
        <v>谢伟新</v>
      </c>
      <c r="D2233" s="3" t="s">
        <v>2051</v>
      </c>
    </row>
    <row r="2234" spans="1:4" ht="24.75" customHeight="1">
      <c r="A2234" s="3" t="str">
        <f>"34892021110820514048366"</f>
        <v>34892021110820514048366</v>
      </c>
      <c r="B2234" s="3" t="s">
        <v>428</v>
      </c>
      <c r="C2234" s="3" t="str">
        <f>"潘思颖"</f>
        <v>潘思颖</v>
      </c>
      <c r="D2234" s="3" t="s">
        <v>2052</v>
      </c>
    </row>
    <row r="2235" spans="1:4" ht="24.75" customHeight="1">
      <c r="A2235" s="3" t="str">
        <f>"34892021110820542148371"</f>
        <v>34892021110820542148371</v>
      </c>
      <c r="B2235" s="3" t="s">
        <v>428</v>
      </c>
      <c r="C2235" s="3" t="str">
        <f>"苏德豪"</f>
        <v>苏德豪</v>
      </c>
      <c r="D2235" s="3" t="s">
        <v>2053</v>
      </c>
    </row>
    <row r="2236" spans="1:4" ht="24.75" customHeight="1">
      <c r="A2236" s="3" t="str">
        <f>"34892021110820544548373"</f>
        <v>34892021110820544548373</v>
      </c>
      <c r="B2236" s="3" t="s">
        <v>428</v>
      </c>
      <c r="C2236" s="3" t="str">
        <f>"王槐亮"</f>
        <v>王槐亮</v>
      </c>
      <c r="D2236" s="3" t="s">
        <v>983</v>
      </c>
    </row>
    <row r="2237" spans="1:4" ht="24.75" customHeight="1">
      <c r="A2237" s="3" t="str">
        <f>"34892021110820553948374"</f>
        <v>34892021110820553948374</v>
      </c>
      <c r="B2237" s="3" t="s">
        <v>428</v>
      </c>
      <c r="C2237" s="3" t="str">
        <f>"王俊乔"</f>
        <v>王俊乔</v>
      </c>
      <c r="D2237" s="3" t="s">
        <v>2054</v>
      </c>
    </row>
    <row r="2238" spans="1:4" ht="24.75" customHeight="1">
      <c r="A2238" s="3" t="str">
        <f>"34892021110820581348382"</f>
        <v>34892021110820581348382</v>
      </c>
      <c r="B2238" s="3" t="s">
        <v>428</v>
      </c>
      <c r="C2238" s="3" t="str">
        <f>"梁嘉伟"</f>
        <v>梁嘉伟</v>
      </c>
      <c r="D2238" s="3" t="s">
        <v>2055</v>
      </c>
    </row>
    <row r="2239" spans="1:4" ht="24.75" customHeight="1">
      <c r="A2239" s="3" t="str">
        <f>"34892021110821012648390"</f>
        <v>34892021110821012648390</v>
      </c>
      <c r="B2239" s="3" t="s">
        <v>428</v>
      </c>
      <c r="C2239" s="3" t="str">
        <f>"洪浩"</f>
        <v>洪浩</v>
      </c>
      <c r="D2239" s="3" t="s">
        <v>2056</v>
      </c>
    </row>
    <row r="2240" spans="1:4" ht="24.75" customHeight="1">
      <c r="A2240" s="3" t="str">
        <f>"34892021110821014448392"</f>
        <v>34892021110821014448392</v>
      </c>
      <c r="B2240" s="3" t="s">
        <v>428</v>
      </c>
      <c r="C2240" s="3" t="str">
        <f>"徐安琪"</f>
        <v>徐安琪</v>
      </c>
      <c r="D2240" s="3" t="s">
        <v>2057</v>
      </c>
    </row>
    <row r="2241" spans="1:4" ht="24.75" customHeight="1">
      <c r="A2241" s="3" t="str">
        <f>"34892021110821015348393"</f>
        <v>34892021110821015348393</v>
      </c>
      <c r="B2241" s="3" t="s">
        <v>428</v>
      </c>
      <c r="C2241" s="3" t="str">
        <f>"王章裕"</f>
        <v>王章裕</v>
      </c>
      <c r="D2241" s="3" t="s">
        <v>2058</v>
      </c>
    </row>
    <row r="2242" spans="1:4" ht="24.75" customHeight="1">
      <c r="A2242" s="3" t="str">
        <f>"34892021110821021848394"</f>
        <v>34892021110821021848394</v>
      </c>
      <c r="B2242" s="3" t="s">
        <v>428</v>
      </c>
      <c r="C2242" s="3" t="str">
        <f>"郭菲"</f>
        <v>郭菲</v>
      </c>
      <c r="D2242" s="3" t="s">
        <v>2059</v>
      </c>
    </row>
    <row r="2243" spans="1:4" ht="24.75" customHeight="1">
      <c r="A2243" s="3" t="str">
        <f>"34892021110821025648395"</f>
        <v>34892021110821025648395</v>
      </c>
      <c r="B2243" s="3" t="s">
        <v>428</v>
      </c>
      <c r="C2243" s="3" t="str">
        <f>"杨育源"</f>
        <v>杨育源</v>
      </c>
      <c r="D2243" s="3" t="s">
        <v>2060</v>
      </c>
    </row>
    <row r="2244" spans="1:4" ht="24.75" customHeight="1">
      <c r="A2244" s="3" t="str">
        <f>"34892021110821030748397"</f>
        <v>34892021110821030748397</v>
      </c>
      <c r="B2244" s="3" t="s">
        <v>428</v>
      </c>
      <c r="C2244" s="3" t="str">
        <f>"王上"</f>
        <v>王上</v>
      </c>
      <c r="D2244" s="3" t="s">
        <v>2061</v>
      </c>
    </row>
    <row r="2245" spans="1:4" ht="24.75" customHeight="1">
      <c r="A2245" s="3" t="str">
        <f>"34892021110821043048400"</f>
        <v>34892021110821043048400</v>
      </c>
      <c r="B2245" s="3" t="s">
        <v>428</v>
      </c>
      <c r="C2245" s="3" t="str">
        <f>"邓聪豪"</f>
        <v>邓聪豪</v>
      </c>
      <c r="D2245" s="3" t="s">
        <v>2062</v>
      </c>
    </row>
    <row r="2246" spans="1:4" ht="24.75" customHeight="1">
      <c r="A2246" s="3" t="str">
        <f>"34892021110821074548404"</f>
        <v>34892021110821074548404</v>
      </c>
      <c r="B2246" s="3" t="s">
        <v>428</v>
      </c>
      <c r="C2246" s="3" t="str">
        <f>"邢展宁"</f>
        <v>邢展宁</v>
      </c>
      <c r="D2246" s="3" t="s">
        <v>2063</v>
      </c>
    </row>
    <row r="2247" spans="1:4" ht="24.75" customHeight="1">
      <c r="A2247" s="3" t="str">
        <f>"34892021110821102548407"</f>
        <v>34892021110821102548407</v>
      </c>
      <c r="B2247" s="3" t="s">
        <v>428</v>
      </c>
      <c r="C2247" s="3" t="str">
        <f>"林斌"</f>
        <v>林斌</v>
      </c>
      <c r="D2247" s="3" t="s">
        <v>2064</v>
      </c>
    </row>
    <row r="2248" spans="1:4" ht="24.75" customHeight="1">
      <c r="A2248" s="3" t="str">
        <f>"34892021110821131148411"</f>
        <v>34892021110821131148411</v>
      </c>
      <c r="B2248" s="3" t="s">
        <v>428</v>
      </c>
      <c r="C2248" s="3" t="str">
        <f>"金杉"</f>
        <v>金杉</v>
      </c>
      <c r="D2248" s="3" t="s">
        <v>2065</v>
      </c>
    </row>
    <row r="2249" spans="1:4" ht="24.75" customHeight="1">
      <c r="A2249" s="3" t="str">
        <f>"34892021110821145148418"</f>
        <v>34892021110821145148418</v>
      </c>
      <c r="B2249" s="3" t="s">
        <v>428</v>
      </c>
      <c r="C2249" s="3" t="str">
        <f>"韦小芳"</f>
        <v>韦小芳</v>
      </c>
      <c r="D2249" s="3" t="s">
        <v>2066</v>
      </c>
    </row>
    <row r="2250" spans="1:4" ht="24.75" customHeight="1">
      <c r="A2250" s="3" t="str">
        <f>"34892021110821153348419"</f>
        <v>34892021110821153348419</v>
      </c>
      <c r="B2250" s="3" t="s">
        <v>428</v>
      </c>
      <c r="C2250" s="3" t="str">
        <f>"李丽珍"</f>
        <v>李丽珍</v>
      </c>
      <c r="D2250" s="3" t="s">
        <v>2067</v>
      </c>
    </row>
    <row r="2251" spans="1:4" ht="24.75" customHeight="1">
      <c r="A2251" s="3" t="str">
        <f>"34892021110821155548421"</f>
        <v>34892021110821155548421</v>
      </c>
      <c r="B2251" s="3" t="s">
        <v>428</v>
      </c>
      <c r="C2251" s="3" t="str">
        <f>"林道干"</f>
        <v>林道干</v>
      </c>
      <c r="D2251" s="3" t="s">
        <v>2068</v>
      </c>
    </row>
    <row r="2252" spans="1:4" ht="24.75" customHeight="1">
      <c r="A2252" s="3" t="str">
        <f>"34892021110821162748423"</f>
        <v>34892021110821162748423</v>
      </c>
      <c r="B2252" s="3" t="s">
        <v>428</v>
      </c>
      <c r="C2252" s="3" t="str">
        <f>"王谋英"</f>
        <v>王谋英</v>
      </c>
      <c r="D2252" s="3" t="s">
        <v>2069</v>
      </c>
    </row>
    <row r="2253" spans="1:4" ht="24.75" customHeight="1">
      <c r="A2253" s="3" t="str">
        <f>"34892021110821172248424"</f>
        <v>34892021110821172248424</v>
      </c>
      <c r="B2253" s="3" t="s">
        <v>428</v>
      </c>
      <c r="C2253" s="3" t="str">
        <f>"邢益贤"</f>
        <v>邢益贤</v>
      </c>
      <c r="D2253" s="3" t="s">
        <v>2070</v>
      </c>
    </row>
    <row r="2254" spans="1:4" ht="24.75" customHeight="1">
      <c r="A2254" s="3" t="str">
        <f>"34892021110821184648428"</f>
        <v>34892021110821184648428</v>
      </c>
      <c r="B2254" s="3" t="s">
        <v>428</v>
      </c>
      <c r="C2254" s="3" t="str">
        <f>"苏华玲"</f>
        <v>苏华玲</v>
      </c>
      <c r="D2254" s="3" t="s">
        <v>2071</v>
      </c>
    </row>
    <row r="2255" spans="1:4" ht="24.75" customHeight="1">
      <c r="A2255" s="3" t="str">
        <f>"34892021110821263348448"</f>
        <v>34892021110821263348448</v>
      </c>
      <c r="B2255" s="3" t="s">
        <v>428</v>
      </c>
      <c r="C2255" s="3" t="str">
        <f>"莫文倩"</f>
        <v>莫文倩</v>
      </c>
      <c r="D2255" s="3" t="s">
        <v>2072</v>
      </c>
    </row>
    <row r="2256" spans="1:4" ht="24.75" customHeight="1">
      <c r="A2256" s="3" t="str">
        <f>"34892021110821264048449"</f>
        <v>34892021110821264048449</v>
      </c>
      <c r="B2256" s="3" t="s">
        <v>428</v>
      </c>
      <c r="C2256" s="3" t="str">
        <f>"林碧红"</f>
        <v>林碧红</v>
      </c>
      <c r="D2256" s="3" t="s">
        <v>2073</v>
      </c>
    </row>
    <row r="2257" spans="1:4" ht="24.75" customHeight="1">
      <c r="A2257" s="3" t="str">
        <f>"34892021110821264448450"</f>
        <v>34892021110821264448450</v>
      </c>
      <c r="B2257" s="3" t="s">
        <v>428</v>
      </c>
      <c r="C2257" s="3" t="str">
        <f>"陈福德"</f>
        <v>陈福德</v>
      </c>
      <c r="D2257" s="3" t="s">
        <v>2074</v>
      </c>
    </row>
    <row r="2258" spans="1:4" ht="24.75" customHeight="1">
      <c r="A2258" s="3" t="str">
        <f>"34892021110821281948451"</f>
        <v>34892021110821281948451</v>
      </c>
      <c r="B2258" s="3" t="s">
        <v>428</v>
      </c>
      <c r="C2258" s="3" t="str">
        <f>"吴芝"</f>
        <v>吴芝</v>
      </c>
      <c r="D2258" s="3" t="s">
        <v>2075</v>
      </c>
    </row>
    <row r="2259" spans="1:4" ht="24.75" customHeight="1">
      <c r="A2259" s="3" t="str">
        <f>"34892021110821285948452"</f>
        <v>34892021110821285948452</v>
      </c>
      <c r="B2259" s="3" t="s">
        <v>428</v>
      </c>
      <c r="C2259" s="3" t="str">
        <f>"朱文骏"</f>
        <v>朱文骏</v>
      </c>
      <c r="D2259" s="3" t="s">
        <v>1712</v>
      </c>
    </row>
    <row r="2260" spans="1:4" ht="24.75" customHeight="1">
      <c r="A2260" s="3" t="str">
        <f>"34892021110821290548453"</f>
        <v>34892021110821290548453</v>
      </c>
      <c r="B2260" s="3" t="s">
        <v>428</v>
      </c>
      <c r="C2260" s="3" t="str">
        <f>"王香"</f>
        <v>王香</v>
      </c>
      <c r="D2260" s="3" t="s">
        <v>1315</v>
      </c>
    </row>
    <row r="2261" spans="1:4" ht="24.75" customHeight="1">
      <c r="A2261" s="3" t="str">
        <f>"34892021110821325148457"</f>
        <v>34892021110821325148457</v>
      </c>
      <c r="B2261" s="3" t="s">
        <v>428</v>
      </c>
      <c r="C2261" s="3" t="str">
        <f>"吴秋花"</f>
        <v>吴秋花</v>
      </c>
      <c r="D2261" s="3" t="s">
        <v>1116</v>
      </c>
    </row>
    <row r="2262" spans="1:4" ht="24.75" customHeight="1">
      <c r="A2262" s="3" t="str">
        <f>"34892021110821345848460"</f>
        <v>34892021110821345848460</v>
      </c>
      <c r="B2262" s="3" t="s">
        <v>428</v>
      </c>
      <c r="C2262" s="3" t="str">
        <f>"黄吉秋"</f>
        <v>黄吉秋</v>
      </c>
      <c r="D2262" s="3" t="s">
        <v>2076</v>
      </c>
    </row>
    <row r="2263" spans="1:4" ht="24.75" customHeight="1">
      <c r="A2263" s="3" t="str">
        <f>"34892021110821380748465"</f>
        <v>34892021110821380748465</v>
      </c>
      <c r="B2263" s="3" t="s">
        <v>428</v>
      </c>
      <c r="C2263" s="3" t="str">
        <f>"符敏秀"</f>
        <v>符敏秀</v>
      </c>
      <c r="D2263" s="3" t="s">
        <v>1889</v>
      </c>
    </row>
    <row r="2264" spans="1:4" ht="24.75" customHeight="1">
      <c r="A2264" s="3" t="str">
        <f>"34892021110821420848472"</f>
        <v>34892021110821420848472</v>
      </c>
      <c r="B2264" s="3" t="s">
        <v>428</v>
      </c>
      <c r="C2264" s="3" t="str">
        <f>"王秋敏"</f>
        <v>王秋敏</v>
      </c>
      <c r="D2264" s="3" t="s">
        <v>2077</v>
      </c>
    </row>
    <row r="2265" spans="1:4" ht="24.75" customHeight="1">
      <c r="A2265" s="3" t="str">
        <f>"34892021110821432548473"</f>
        <v>34892021110821432548473</v>
      </c>
      <c r="B2265" s="3" t="s">
        <v>428</v>
      </c>
      <c r="C2265" s="3" t="str">
        <f>"羊臣俊"</f>
        <v>羊臣俊</v>
      </c>
      <c r="D2265" s="3" t="s">
        <v>2078</v>
      </c>
    </row>
    <row r="2266" spans="1:4" ht="24.75" customHeight="1">
      <c r="A2266" s="3" t="str">
        <f>"34892021110821452448475"</f>
        <v>34892021110821452448475</v>
      </c>
      <c r="B2266" s="3" t="s">
        <v>428</v>
      </c>
      <c r="C2266" s="3" t="str">
        <f>"梁宇晨"</f>
        <v>梁宇晨</v>
      </c>
      <c r="D2266" s="3" t="s">
        <v>2079</v>
      </c>
    </row>
    <row r="2267" spans="1:4" ht="24.75" customHeight="1">
      <c r="A2267" s="3" t="str">
        <f>"34892021110821474048480"</f>
        <v>34892021110821474048480</v>
      </c>
      <c r="B2267" s="3" t="s">
        <v>428</v>
      </c>
      <c r="C2267" s="3" t="str">
        <f>"王艳姗"</f>
        <v>王艳姗</v>
      </c>
      <c r="D2267" s="3" t="s">
        <v>2080</v>
      </c>
    </row>
    <row r="2268" spans="1:4" ht="24.75" customHeight="1">
      <c r="A2268" s="3" t="str">
        <f>"34892021110821525048486"</f>
        <v>34892021110821525048486</v>
      </c>
      <c r="B2268" s="3" t="s">
        <v>428</v>
      </c>
      <c r="C2268" s="3" t="str">
        <f>"许永才"</f>
        <v>许永才</v>
      </c>
      <c r="D2268" s="3" t="s">
        <v>2081</v>
      </c>
    </row>
    <row r="2269" spans="1:4" ht="24.75" customHeight="1">
      <c r="A2269" s="3" t="str">
        <f>"34892021110821534148488"</f>
        <v>34892021110821534148488</v>
      </c>
      <c r="B2269" s="3" t="s">
        <v>428</v>
      </c>
      <c r="C2269" s="3" t="str">
        <f>"刘赛玉"</f>
        <v>刘赛玉</v>
      </c>
      <c r="D2269" s="3" t="s">
        <v>2082</v>
      </c>
    </row>
    <row r="2270" spans="1:4" ht="24.75" customHeight="1">
      <c r="A2270" s="3" t="str">
        <f>"34892021110821541148489"</f>
        <v>34892021110821541148489</v>
      </c>
      <c r="B2270" s="3" t="s">
        <v>428</v>
      </c>
      <c r="C2270" s="3" t="str">
        <f>"郑学妍"</f>
        <v>郑学妍</v>
      </c>
      <c r="D2270" s="3" t="s">
        <v>2083</v>
      </c>
    </row>
    <row r="2271" spans="1:4" ht="24.75" customHeight="1">
      <c r="A2271" s="3" t="str">
        <f>"34892021110821544948490"</f>
        <v>34892021110821544948490</v>
      </c>
      <c r="B2271" s="3" t="s">
        <v>428</v>
      </c>
      <c r="C2271" s="3" t="str">
        <f>"黄思思"</f>
        <v>黄思思</v>
      </c>
      <c r="D2271" s="3" t="s">
        <v>2084</v>
      </c>
    </row>
    <row r="2272" spans="1:4" ht="24.75" customHeight="1">
      <c r="A2272" s="3" t="str">
        <f>"34892021110821551248491"</f>
        <v>34892021110821551248491</v>
      </c>
      <c r="B2272" s="3" t="s">
        <v>428</v>
      </c>
      <c r="C2272" s="3" t="str">
        <f>"吴地春"</f>
        <v>吴地春</v>
      </c>
      <c r="D2272" s="3" t="s">
        <v>2085</v>
      </c>
    </row>
    <row r="2273" spans="1:4" ht="24.75" customHeight="1">
      <c r="A2273" s="3" t="str">
        <f>"34892021110821591648501"</f>
        <v>34892021110821591648501</v>
      </c>
      <c r="B2273" s="3" t="s">
        <v>428</v>
      </c>
      <c r="C2273" s="3" t="str">
        <f>"姚晓莹"</f>
        <v>姚晓莹</v>
      </c>
      <c r="D2273" s="3" t="s">
        <v>2086</v>
      </c>
    </row>
    <row r="2274" spans="1:4" ht="24.75" customHeight="1">
      <c r="A2274" s="3" t="str">
        <f>"34892021110821595148502"</f>
        <v>34892021110821595148502</v>
      </c>
      <c r="B2274" s="3" t="s">
        <v>428</v>
      </c>
      <c r="C2274" s="3" t="str">
        <f>"欧几棉"</f>
        <v>欧几棉</v>
      </c>
      <c r="D2274" s="3" t="s">
        <v>2087</v>
      </c>
    </row>
    <row r="2275" spans="1:4" ht="24.75" customHeight="1">
      <c r="A2275" s="3" t="str">
        <f>"34892021110822000948503"</f>
        <v>34892021110822000948503</v>
      </c>
      <c r="B2275" s="3" t="s">
        <v>428</v>
      </c>
      <c r="C2275" s="3" t="str">
        <f>"邢晖"</f>
        <v>邢晖</v>
      </c>
      <c r="D2275" s="3" t="s">
        <v>1123</v>
      </c>
    </row>
    <row r="2276" spans="1:4" ht="24.75" customHeight="1">
      <c r="A2276" s="3" t="str">
        <f>"34892021110822025948507"</f>
        <v>34892021110822025948507</v>
      </c>
      <c r="B2276" s="3" t="s">
        <v>428</v>
      </c>
      <c r="C2276" s="3" t="str">
        <f>"曾田恬"</f>
        <v>曾田恬</v>
      </c>
      <c r="D2276" s="3" t="s">
        <v>2088</v>
      </c>
    </row>
    <row r="2277" spans="1:4" ht="24.75" customHeight="1">
      <c r="A2277" s="3" t="str">
        <f>"34892021110822044348509"</f>
        <v>34892021110822044348509</v>
      </c>
      <c r="B2277" s="3" t="s">
        <v>428</v>
      </c>
      <c r="C2277" s="3" t="str">
        <f>"关志颢"</f>
        <v>关志颢</v>
      </c>
      <c r="D2277" s="3" t="s">
        <v>1895</v>
      </c>
    </row>
    <row r="2278" spans="1:4" ht="24.75" customHeight="1">
      <c r="A2278" s="3" t="str">
        <f>"34892021110822060048512"</f>
        <v>34892021110822060048512</v>
      </c>
      <c r="B2278" s="3" t="s">
        <v>428</v>
      </c>
      <c r="C2278" s="3" t="str">
        <f>"曾维国"</f>
        <v>曾维国</v>
      </c>
      <c r="D2278" s="3" t="s">
        <v>2089</v>
      </c>
    </row>
    <row r="2279" spans="1:4" ht="24.75" customHeight="1">
      <c r="A2279" s="3" t="str">
        <f>"34892021110822131548527"</f>
        <v>34892021110822131548527</v>
      </c>
      <c r="B2279" s="3" t="s">
        <v>428</v>
      </c>
      <c r="C2279" s="3" t="str">
        <f>"柯维圣"</f>
        <v>柯维圣</v>
      </c>
      <c r="D2279" s="3" t="s">
        <v>2090</v>
      </c>
    </row>
    <row r="2280" spans="1:4" ht="24.75" customHeight="1">
      <c r="A2280" s="3" t="str">
        <f>"34892021110822192548538"</f>
        <v>34892021110822192548538</v>
      </c>
      <c r="B2280" s="3" t="s">
        <v>428</v>
      </c>
      <c r="C2280" s="3" t="str">
        <f>"苏钻"</f>
        <v>苏钻</v>
      </c>
      <c r="D2280" s="3" t="s">
        <v>2091</v>
      </c>
    </row>
    <row r="2281" spans="1:4" ht="24.75" customHeight="1">
      <c r="A2281" s="3" t="str">
        <f>"34892021110822201548540"</f>
        <v>34892021110822201548540</v>
      </c>
      <c r="B2281" s="3" t="s">
        <v>428</v>
      </c>
      <c r="C2281" s="3" t="str">
        <f>"林芳香"</f>
        <v>林芳香</v>
      </c>
      <c r="D2281" s="3" t="s">
        <v>1353</v>
      </c>
    </row>
    <row r="2282" spans="1:4" ht="24.75" customHeight="1">
      <c r="A2282" s="3" t="str">
        <f>"34892021110822210048541"</f>
        <v>34892021110822210048541</v>
      </c>
      <c r="B2282" s="3" t="s">
        <v>428</v>
      </c>
      <c r="C2282" s="3" t="str">
        <f>"薛万帝"</f>
        <v>薛万帝</v>
      </c>
      <c r="D2282" s="3" t="s">
        <v>2092</v>
      </c>
    </row>
    <row r="2283" spans="1:4" ht="24.75" customHeight="1">
      <c r="A2283" s="3" t="str">
        <f>"34892021110822212548543"</f>
        <v>34892021110822212548543</v>
      </c>
      <c r="B2283" s="3" t="s">
        <v>428</v>
      </c>
      <c r="C2283" s="3" t="str">
        <f>"黄雨霞"</f>
        <v>黄雨霞</v>
      </c>
      <c r="D2283" s="3" t="s">
        <v>2093</v>
      </c>
    </row>
    <row r="2284" spans="1:4" ht="24.75" customHeight="1">
      <c r="A2284" s="3" t="str">
        <f>"34892021110822243348548"</f>
        <v>34892021110822243348548</v>
      </c>
      <c r="B2284" s="3" t="s">
        <v>428</v>
      </c>
      <c r="C2284" s="3" t="str">
        <f>"廖会腾"</f>
        <v>廖会腾</v>
      </c>
      <c r="D2284" s="3" t="s">
        <v>2094</v>
      </c>
    </row>
    <row r="2285" spans="1:4" ht="24.75" customHeight="1">
      <c r="A2285" s="3" t="str">
        <f>"34892021110822243448549"</f>
        <v>34892021110822243448549</v>
      </c>
      <c r="B2285" s="3" t="s">
        <v>428</v>
      </c>
      <c r="C2285" s="3" t="str">
        <f>"张冰"</f>
        <v>张冰</v>
      </c>
      <c r="D2285" s="3" t="s">
        <v>2095</v>
      </c>
    </row>
    <row r="2286" spans="1:4" ht="24.75" customHeight="1">
      <c r="A2286" s="3" t="str">
        <f>"34892021110822271648554"</f>
        <v>34892021110822271648554</v>
      </c>
      <c r="B2286" s="3" t="s">
        <v>428</v>
      </c>
      <c r="C2286" s="3" t="str">
        <f>"王东丽"</f>
        <v>王东丽</v>
      </c>
      <c r="D2286" s="3" t="s">
        <v>2096</v>
      </c>
    </row>
    <row r="2287" spans="1:4" ht="24.75" customHeight="1">
      <c r="A2287" s="3" t="str">
        <f>"34892021110822360548561"</f>
        <v>34892021110822360548561</v>
      </c>
      <c r="B2287" s="3" t="s">
        <v>428</v>
      </c>
      <c r="C2287" s="3" t="str">
        <f>"杨妹妹"</f>
        <v>杨妹妹</v>
      </c>
      <c r="D2287" s="3" t="s">
        <v>2097</v>
      </c>
    </row>
    <row r="2288" spans="1:4" ht="24.75" customHeight="1">
      <c r="A2288" s="3" t="str">
        <f>"34892021110822383548568"</f>
        <v>34892021110822383548568</v>
      </c>
      <c r="B2288" s="3" t="s">
        <v>428</v>
      </c>
      <c r="C2288" s="3" t="str">
        <f>"朱宸羲"</f>
        <v>朱宸羲</v>
      </c>
      <c r="D2288" s="3" t="s">
        <v>2098</v>
      </c>
    </row>
    <row r="2289" spans="1:4" ht="24.75" customHeight="1">
      <c r="A2289" s="3" t="str">
        <f>"34892021110822385348569"</f>
        <v>34892021110822385348569</v>
      </c>
      <c r="B2289" s="3" t="s">
        <v>428</v>
      </c>
      <c r="C2289" s="3" t="str">
        <f>"蔡沾敏"</f>
        <v>蔡沾敏</v>
      </c>
      <c r="D2289" s="3" t="s">
        <v>2099</v>
      </c>
    </row>
    <row r="2290" spans="1:4" ht="24.75" customHeight="1">
      <c r="A2290" s="3" t="str">
        <f>"34892021110822393248571"</f>
        <v>34892021110822393248571</v>
      </c>
      <c r="B2290" s="3" t="s">
        <v>428</v>
      </c>
      <c r="C2290" s="3" t="str">
        <f>"许璐珂"</f>
        <v>许璐珂</v>
      </c>
      <c r="D2290" s="3" t="s">
        <v>2100</v>
      </c>
    </row>
    <row r="2291" spans="1:4" ht="24.75" customHeight="1">
      <c r="A2291" s="3" t="str">
        <f>"34892021110822443448580"</f>
        <v>34892021110822443448580</v>
      </c>
      <c r="B2291" s="3" t="s">
        <v>428</v>
      </c>
      <c r="C2291" s="3" t="str">
        <f>"颜苓芹"</f>
        <v>颜苓芹</v>
      </c>
      <c r="D2291" s="3" t="s">
        <v>2101</v>
      </c>
    </row>
    <row r="2292" spans="1:4" ht="24.75" customHeight="1">
      <c r="A2292" s="3" t="str">
        <f>"34892021110822460948583"</f>
        <v>34892021110822460948583</v>
      </c>
      <c r="B2292" s="3" t="s">
        <v>428</v>
      </c>
      <c r="C2292" s="3" t="str">
        <f>"何金杏"</f>
        <v>何金杏</v>
      </c>
      <c r="D2292" s="3" t="s">
        <v>457</v>
      </c>
    </row>
    <row r="2293" spans="1:4" ht="24.75" customHeight="1">
      <c r="A2293" s="3" t="str">
        <f>"34892021110822463048584"</f>
        <v>34892021110822463048584</v>
      </c>
      <c r="B2293" s="3" t="s">
        <v>428</v>
      </c>
      <c r="C2293" s="3" t="str">
        <f>"龙妮"</f>
        <v>龙妮</v>
      </c>
      <c r="D2293" s="3" t="s">
        <v>2102</v>
      </c>
    </row>
    <row r="2294" spans="1:4" ht="24.75" customHeight="1">
      <c r="A2294" s="3" t="str">
        <f>"34892021110822473148587"</f>
        <v>34892021110822473148587</v>
      </c>
      <c r="B2294" s="3" t="s">
        <v>428</v>
      </c>
      <c r="C2294" s="3" t="str">
        <f>"符圣安"</f>
        <v>符圣安</v>
      </c>
      <c r="D2294" s="3" t="s">
        <v>2103</v>
      </c>
    </row>
    <row r="2295" spans="1:4" ht="24.75" customHeight="1">
      <c r="A2295" s="3" t="str">
        <f>"34892021110822525648596"</f>
        <v>34892021110822525648596</v>
      </c>
      <c r="B2295" s="3" t="s">
        <v>428</v>
      </c>
      <c r="C2295" s="3" t="str">
        <f>"陈星妍"</f>
        <v>陈星妍</v>
      </c>
      <c r="D2295" s="3" t="s">
        <v>2104</v>
      </c>
    </row>
    <row r="2296" spans="1:4" ht="24.75" customHeight="1">
      <c r="A2296" s="3" t="str">
        <f>"34892021110823010948608"</f>
        <v>34892021110823010948608</v>
      </c>
      <c r="B2296" s="3" t="s">
        <v>428</v>
      </c>
      <c r="C2296" s="3" t="str">
        <f>"苏芳慧"</f>
        <v>苏芳慧</v>
      </c>
      <c r="D2296" s="3" t="s">
        <v>2105</v>
      </c>
    </row>
    <row r="2297" spans="1:4" ht="24.75" customHeight="1">
      <c r="A2297" s="3" t="str">
        <f>"34892021110823093748618"</f>
        <v>34892021110823093748618</v>
      </c>
      <c r="B2297" s="3" t="s">
        <v>428</v>
      </c>
      <c r="C2297" s="3" t="str">
        <f>"王刚"</f>
        <v>王刚</v>
      </c>
      <c r="D2297" s="3" t="s">
        <v>2106</v>
      </c>
    </row>
    <row r="2298" spans="1:4" ht="24.75" customHeight="1">
      <c r="A2298" s="3" t="str">
        <f>"34892021110823164248626"</f>
        <v>34892021110823164248626</v>
      </c>
      <c r="B2298" s="3" t="s">
        <v>428</v>
      </c>
      <c r="C2298" s="3" t="str">
        <f>"吴茂李"</f>
        <v>吴茂李</v>
      </c>
      <c r="D2298" s="3" t="s">
        <v>2107</v>
      </c>
    </row>
    <row r="2299" spans="1:4" ht="24.75" customHeight="1">
      <c r="A2299" s="3" t="str">
        <f>"34892021110823181148629"</f>
        <v>34892021110823181148629</v>
      </c>
      <c r="B2299" s="3" t="s">
        <v>428</v>
      </c>
      <c r="C2299" s="3" t="str">
        <f>"高芳超"</f>
        <v>高芳超</v>
      </c>
      <c r="D2299" s="3" t="s">
        <v>2108</v>
      </c>
    </row>
    <row r="2300" spans="1:4" ht="24.75" customHeight="1">
      <c r="A2300" s="3" t="str">
        <f>"34892021110823183348631"</f>
        <v>34892021110823183348631</v>
      </c>
      <c r="B2300" s="3" t="s">
        <v>428</v>
      </c>
      <c r="C2300" s="3" t="str">
        <f>"全晓桢"</f>
        <v>全晓桢</v>
      </c>
      <c r="D2300" s="3" t="s">
        <v>2109</v>
      </c>
    </row>
    <row r="2301" spans="1:4" ht="24.75" customHeight="1">
      <c r="A2301" s="3" t="str">
        <f>"34892021110823290248642"</f>
        <v>34892021110823290248642</v>
      </c>
      <c r="B2301" s="3" t="s">
        <v>428</v>
      </c>
      <c r="C2301" s="3" t="str">
        <f>"欧雨恒"</f>
        <v>欧雨恒</v>
      </c>
      <c r="D2301" s="3" t="s">
        <v>911</v>
      </c>
    </row>
    <row r="2302" spans="1:4" ht="24.75" customHeight="1">
      <c r="A2302" s="3" t="str">
        <f>"34892021110823383448650"</f>
        <v>34892021110823383448650</v>
      </c>
      <c r="B2302" s="3" t="s">
        <v>428</v>
      </c>
      <c r="C2302" s="3" t="str">
        <f>"王宽瑾"</f>
        <v>王宽瑾</v>
      </c>
      <c r="D2302" s="3" t="s">
        <v>2110</v>
      </c>
    </row>
    <row r="2303" spans="1:4" ht="24.75" customHeight="1">
      <c r="A2303" s="3" t="str">
        <f>"34892021110823401348653"</f>
        <v>34892021110823401348653</v>
      </c>
      <c r="B2303" s="3" t="s">
        <v>428</v>
      </c>
      <c r="C2303" s="3" t="str">
        <f>"谢秋良"</f>
        <v>谢秋良</v>
      </c>
      <c r="D2303" s="3" t="s">
        <v>2111</v>
      </c>
    </row>
    <row r="2304" spans="1:4" ht="24.75" customHeight="1">
      <c r="A2304" s="3" t="str">
        <f>"34892021110823413048655"</f>
        <v>34892021110823413048655</v>
      </c>
      <c r="B2304" s="3" t="s">
        <v>428</v>
      </c>
      <c r="C2304" s="3" t="str">
        <f>"吴慧玲"</f>
        <v>吴慧玲</v>
      </c>
      <c r="D2304" s="3" t="s">
        <v>2112</v>
      </c>
    </row>
    <row r="2305" spans="1:4" ht="24.75" customHeight="1">
      <c r="A2305" s="3" t="str">
        <f>"34892021110823422248657"</f>
        <v>34892021110823422248657</v>
      </c>
      <c r="B2305" s="3" t="s">
        <v>428</v>
      </c>
      <c r="C2305" s="3" t="str">
        <f>"陈文标"</f>
        <v>陈文标</v>
      </c>
      <c r="D2305" s="3" t="s">
        <v>2113</v>
      </c>
    </row>
    <row r="2306" spans="1:4" ht="24.75" customHeight="1">
      <c r="A2306" s="3" t="str">
        <f>"34892021110823444148659"</f>
        <v>34892021110823444148659</v>
      </c>
      <c r="B2306" s="3" t="s">
        <v>428</v>
      </c>
      <c r="C2306" s="3" t="str">
        <f>"陈曦"</f>
        <v>陈曦</v>
      </c>
      <c r="D2306" s="3" t="s">
        <v>169</v>
      </c>
    </row>
    <row r="2307" spans="1:4" ht="24.75" customHeight="1">
      <c r="A2307" s="3" t="str">
        <f>"34892021110823523348668"</f>
        <v>34892021110823523348668</v>
      </c>
      <c r="B2307" s="3" t="s">
        <v>428</v>
      </c>
      <c r="C2307" s="3" t="str">
        <f>"李良"</f>
        <v>李良</v>
      </c>
      <c r="D2307" s="3" t="s">
        <v>583</v>
      </c>
    </row>
    <row r="2308" spans="1:4" ht="24.75" customHeight="1">
      <c r="A2308" s="3" t="str">
        <f>"34892021110823572948671"</f>
        <v>34892021110823572948671</v>
      </c>
      <c r="B2308" s="3" t="s">
        <v>428</v>
      </c>
      <c r="C2308" s="3" t="str">
        <f>"吴瑞雯"</f>
        <v>吴瑞雯</v>
      </c>
      <c r="D2308" s="3" t="s">
        <v>2114</v>
      </c>
    </row>
    <row r="2309" spans="1:4" ht="24.75" customHeight="1">
      <c r="A2309" s="3" t="str">
        <f>"34892021110823592148674"</f>
        <v>34892021110823592148674</v>
      </c>
      <c r="B2309" s="3" t="s">
        <v>428</v>
      </c>
      <c r="C2309" s="3" t="str">
        <f>"王达辉"</f>
        <v>王达辉</v>
      </c>
      <c r="D2309" s="3" t="s">
        <v>2115</v>
      </c>
    </row>
    <row r="2310" spans="1:4" ht="24.75" customHeight="1">
      <c r="A2310" s="3" t="str">
        <f>"34892021110900024448676"</f>
        <v>34892021110900024448676</v>
      </c>
      <c r="B2310" s="3" t="s">
        <v>428</v>
      </c>
      <c r="C2310" s="3" t="str">
        <f>"曾初月"</f>
        <v>曾初月</v>
      </c>
      <c r="D2310" s="3" t="s">
        <v>2116</v>
      </c>
    </row>
    <row r="2311" spans="1:4" ht="24.75" customHeight="1">
      <c r="A2311" s="3" t="str">
        <f>"34892021110900201948687"</f>
        <v>34892021110900201948687</v>
      </c>
      <c r="B2311" s="3" t="s">
        <v>428</v>
      </c>
      <c r="C2311" s="3" t="str">
        <f>"黄英帅"</f>
        <v>黄英帅</v>
      </c>
      <c r="D2311" s="3" t="s">
        <v>450</v>
      </c>
    </row>
    <row r="2312" spans="1:4" ht="24.75" customHeight="1">
      <c r="A2312" s="3" t="str">
        <f>"34892021110900281348692"</f>
        <v>34892021110900281348692</v>
      </c>
      <c r="B2312" s="3" t="s">
        <v>428</v>
      </c>
      <c r="C2312" s="3" t="str">
        <f>"林文静"</f>
        <v>林文静</v>
      </c>
      <c r="D2312" s="3" t="s">
        <v>2117</v>
      </c>
    </row>
    <row r="2313" spans="1:4" ht="24.75" customHeight="1">
      <c r="A2313" s="3" t="str">
        <f>"34892021110900565048701"</f>
        <v>34892021110900565048701</v>
      </c>
      <c r="B2313" s="3" t="s">
        <v>428</v>
      </c>
      <c r="C2313" s="3" t="str">
        <f>"符芳望"</f>
        <v>符芳望</v>
      </c>
      <c r="D2313" s="3" t="s">
        <v>2118</v>
      </c>
    </row>
    <row r="2314" spans="1:4" ht="24.75" customHeight="1">
      <c r="A2314" s="3" t="str">
        <f>"34892021110901240748706"</f>
        <v>34892021110901240748706</v>
      </c>
      <c r="B2314" s="3" t="s">
        <v>428</v>
      </c>
      <c r="C2314" s="3" t="str">
        <f>"钟书民"</f>
        <v>钟书民</v>
      </c>
      <c r="D2314" s="3" t="s">
        <v>2119</v>
      </c>
    </row>
    <row r="2315" spans="1:4" ht="24.75" customHeight="1">
      <c r="A2315" s="3" t="str">
        <f>"34892021110901430348709"</f>
        <v>34892021110901430348709</v>
      </c>
      <c r="B2315" s="3" t="s">
        <v>428</v>
      </c>
      <c r="C2315" s="3" t="str">
        <f>"李娜"</f>
        <v>李娜</v>
      </c>
      <c r="D2315" s="3" t="s">
        <v>604</v>
      </c>
    </row>
    <row r="2316" spans="1:4" ht="24.75" customHeight="1">
      <c r="A2316" s="3" t="str">
        <f>"34892021110904134348723"</f>
        <v>34892021110904134348723</v>
      </c>
      <c r="B2316" s="3" t="s">
        <v>428</v>
      </c>
      <c r="C2316" s="3" t="str">
        <f>"符杰贤"</f>
        <v>符杰贤</v>
      </c>
      <c r="D2316" s="3" t="s">
        <v>2120</v>
      </c>
    </row>
    <row r="2317" spans="1:4" ht="24.75" customHeight="1">
      <c r="A2317" s="3" t="str">
        <f>"34892021110904302248724"</f>
        <v>34892021110904302248724</v>
      </c>
      <c r="B2317" s="3" t="s">
        <v>428</v>
      </c>
      <c r="C2317" s="3" t="str">
        <f>"许小菊"</f>
        <v>许小菊</v>
      </c>
      <c r="D2317" s="3" t="s">
        <v>2121</v>
      </c>
    </row>
    <row r="2318" spans="1:4" ht="24.75" customHeight="1">
      <c r="A2318" s="3" t="str">
        <f>"34892021110907363348737"</f>
        <v>34892021110907363348737</v>
      </c>
      <c r="B2318" s="3" t="s">
        <v>428</v>
      </c>
      <c r="C2318" s="3" t="str">
        <f>"许春美"</f>
        <v>许春美</v>
      </c>
      <c r="D2318" s="3" t="s">
        <v>2122</v>
      </c>
    </row>
    <row r="2319" spans="1:4" ht="24.75" customHeight="1">
      <c r="A2319" s="3" t="str">
        <f>"34892021110907380848738"</f>
        <v>34892021110907380848738</v>
      </c>
      <c r="B2319" s="3" t="s">
        <v>428</v>
      </c>
      <c r="C2319" s="3" t="str">
        <f>"陆俊嘉"</f>
        <v>陆俊嘉</v>
      </c>
      <c r="D2319" s="3" t="s">
        <v>2123</v>
      </c>
    </row>
    <row r="2320" spans="1:4" ht="24.75" customHeight="1">
      <c r="A2320" s="3" t="str">
        <f>"34892021110907420848739"</f>
        <v>34892021110907420848739</v>
      </c>
      <c r="B2320" s="3" t="s">
        <v>428</v>
      </c>
      <c r="C2320" s="3" t="str">
        <f>"王春政"</f>
        <v>王春政</v>
      </c>
      <c r="D2320" s="3" t="s">
        <v>2124</v>
      </c>
    </row>
    <row r="2321" spans="1:4" ht="24.75" customHeight="1">
      <c r="A2321" s="3" t="str">
        <f>"34892021110907575948745"</f>
        <v>34892021110907575948745</v>
      </c>
      <c r="B2321" s="3" t="s">
        <v>428</v>
      </c>
      <c r="C2321" s="3" t="str">
        <f>"刘强"</f>
        <v>刘强</v>
      </c>
      <c r="D2321" s="3" t="s">
        <v>2125</v>
      </c>
    </row>
    <row r="2322" spans="1:4" ht="24.75" customHeight="1">
      <c r="A2322" s="3" t="str">
        <f>"34892021110908030848746"</f>
        <v>34892021110908030848746</v>
      </c>
      <c r="B2322" s="3" t="s">
        <v>428</v>
      </c>
      <c r="C2322" s="3" t="str">
        <f>"何定葵"</f>
        <v>何定葵</v>
      </c>
      <c r="D2322" s="3" t="s">
        <v>2126</v>
      </c>
    </row>
    <row r="2323" spans="1:4" ht="24.75" customHeight="1">
      <c r="A2323" s="3" t="str">
        <f>"34892021110908114348749"</f>
        <v>34892021110908114348749</v>
      </c>
      <c r="B2323" s="3" t="s">
        <v>428</v>
      </c>
      <c r="C2323" s="3" t="str">
        <f>"李娜"</f>
        <v>李娜</v>
      </c>
      <c r="D2323" s="3" t="s">
        <v>2127</v>
      </c>
    </row>
    <row r="2324" spans="1:4" ht="24.75" customHeight="1">
      <c r="A2324" s="3" t="str">
        <f>"34892021110908162448752"</f>
        <v>34892021110908162448752</v>
      </c>
      <c r="B2324" s="3" t="s">
        <v>428</v>
      </c>
      <c r="C2324" s="3" t="str">
        <f>"张二玲"</f>
        <v>张二玲</v>
      </c>
      <c r="D2324" s="3" t="s">
        <v>2128</v>
      </c>
    </row>
    <row r="2325" spans="1:4" ht="24.75" customHeight="1">
      <c r="A2325" s="3" t="str">
        <f>"34892021110908285248758"</f>
        <v>34892021110908285248758</v>
      </c>
      <c r="B2325" s="3" t="s">
        <v>428</v>
      </c>
      <c r="C2325" s="3" t="str">
        <f>"王迪"</f>
        <v>王迪</v>
      </c>
      <c r="D2325" s="3" t="s">
        <v>2129</v>
      </c>
    </row>
    <row r="2326" spans="1:4" ht="24.75" customHeight="1">
      <c r="A2326" s="3" t="str">
        <f>"34892021110908285548759"</f>
        <v>34892021110908285548759</v>
      </c>
      <c r="B2326" s="3" t="s">
        <v>428</v>
      </c>
      <c r="C2326" s="3" t="str">
        <f>"吴坤兴"</f>
        <v>吴坤兴</v>
      </c>
      <c r="D2326" s="3" t="s">
        <v>2130</v>
      </c>
    </row>
    <row r="2327" spans="1:4" ht="24.75" customHeight="1">
      <c r="A2327" s="3" t="str">
        <f>"34892021110908300948760"</f>
        <v>34892021110908300948760</v>
      </c>
      <c r="B2327" s="3" t="s">
        <v>428</v>
      </c>
      <c r="C2327" s="3" t="str">
        <f>"施国芸"</f>
        <v>施国芸</v>
      </c>
      <c r="D2327" s="3" t="s">
        <v>2131</v>
      </c>
    </row>
    <row r="2328" spans="1:4" ht="24.75" customHeight="1">
      <c r="A2328" s="3" t="str">
        <f>"34892021110908314048762"</f>
        <v>34892021110908314048762</v>
      </c>
      <c r="B2328" s="3" t="s">
        <v>428</v>
      </c>
      <c r="C2328" s="3" t="str">
        <f>"汤秀颜"</f>
        <v>汤秀颜</v>
      </c>
      <c r="D2328" s="3" t="s">
        <v>2132</v>
      </c>
    </row>
    <row r="2329" spans="1:4" ht="24.75" customHeight="1">
      <c r="A2329" s="3" t="str">
        <f>"34892021110908373448768"</f>
        <v>34892021110908373448768</v>
      </c>
      <c r="B2329" s="3" t="s">
        <v>428</v>
      </c>
      <c r="C2329" s="3" t="str">
        <f>"黄堂"</f>
        <v>黄堂</v>
      </c>
      <c r="D2329" s="3" t="s">
        <v>2133</v>
      </c>
    </row>
    <row r="2330" spans="1:4" ht="24.75" customHeight="1">
      <c r="A2330" s="3" t="str">
        <f>"34892021110908390548771"</f>
        <v>34892021110908390548771</v>
      </c>
      <c r="B2330" s="3" t="s">
        <v>428</v>
      </c>
      <c r="C2330" s="3" t="str">
        <f>"陈昕"</f>
        <v>陈昕</v>
      </c>
      <c r="D2330" s="3" t="s">
        <v>2134</v>
      </c>
    </row>
    <row r="2331" spans="1:4" ht="24.75" customHeight="1">
      <c r="A2331" s="3" t="str">
        <f>"34892021110908474648787"</f>
        <v>34892021110908474648787</v>
      </c>
      <c r="B2331" s="3" t="s">
        <v>428</v>
      </c>
      <c r="C2331" s="3" t="str">
        <f>"陈光菊"</f>
        <v>陈光菊</v>
      </c>
      <c r="D2331" s="3" t="s">
        <v>2135</v>
      </c>
    </row>
    <row r="2332" spans="1:4" ht="24.75" customHeight="1">
      <c r="A2332" s="3" t="str">
        <f>"34892021110908484048791"</f>
        <v>34892021110908484048791</v>
      </c>
      <c r="B2332" s="3" t="s">
        <v>428</v>
      </c>
      <c r="C2332" s="3" t="str">
        <f>"董佳琦"</f>
        <v>董佳琦</v>
      </c>
      <c r="D2332" s="3" t="s">
        <v>2136</v>
      </c>
    </row>
    <row r="2333" spans="1:4" ht="24.75" customHeight="1">
      <c r="A2333" s="3" t="str">
        <f>"34892021110908492948792"</f>
        <v>34892021110908492948792</v>
      </c>
      <c r="B2333" s="3" t="s">
        <v>428</v>
      </c>
      <c r="C2333" s="3" t="str">
        <f>"陈晓轻"</f>
        <v>陈晓轻</v>
      </c>
      <c r="D2333" s="3" t="s">
        <v>2137</v>
      </c>
    </row>
    <row r="2334" spans="1:4" ht="24.75" customHeight="1">
      <c r="A2334" s="3" t="str">
        <f>"34892021110908501548793"</f>
        <v>34892021110908501548793</v>
      </c>
      <c r="B2334" s="3" t="s">
        <v>428</v>
      </c>
      <c r="C2334" s="3" t="str">
        <f>"彭春美"</f>
        <v>彭春美</v>
      </c>
      <c r="D2334" s="3" t="s">
        <v>2138</v>
      </c>
    </row>
    <row r="2335" spans="1:4" ht="24.75" customHeight="1">
      <c r="A2335" s="3" t="str">
        <f>"34892021110908564648797"</f>
        <v>34892021110908564648797</v>
      </c>
      <c r="B2335" s="3" t="s">
        <v>428</v>
      </c>
      <c r="C2335" s="3" t="str">
        <f>"冯政"</f>
        <v>冯政</v>
      </c>
      <c r="D2335" s="3" t="s">
        <v>2041</v>
      </c>
    </row>
    <row r="2336" spans="1:4" ht="24.75" customHeight="1">
      <c r="A2336" s="3" t="str">
        <f>"34892021110908584548799"</f>
        <v>34892021110908584548799</v>
      </c>
      <c r="B2336" s="3" t="s">
        <v>428</v>
      </c>
      <c r="C2336" s="3" t="str">
        <f>"王浩宇"</f>
        <v>王浩宇</v>
      </c>
      <c r="D2336" s="3" t="s">
        <v>2139</v>
      </c>
    </row>
    <row r="2337" spans="1:4" ht="24.75" customHeight="1">
      <c r="A2337" s="3" t="str">
        <f>"34892021110909034948805"</f>
        <v>34892021110909034948805</v>
      </c>
      <c r="B2337" s="3" t="s">
        <v>428</v>
      </c>
      <c r="C2337" s="3" t="str">
        <f>"罗国科"</f>
        <v>罗国科</v>
      </c>
      <c r="D2337" s="3" t="s">
        <v>2140</v>
      </c>
    </row>
    <row r="2338" spans="1:4" ht="24.75" customHeight="1">
      <c r="A2338" s="3" t="str">
        <f>"34892021110909052148809"</f>
        <v>34892021110909052148809</v>
      </c>
      <c r="B2338" s="3" t="s">
        <v>428</v>
      </c>
      <c r="C2338" s="3" t="str">
        <f>"王爱珍"</f>
        <v>王爱珍</v>
      </c>
      <c r="D2338" s="3" t="s">
        <v>2141</v>
      </c>
    </row>
    <row r="2339" spans="1:4" ht="24.75" customHeight="1">
      <c r="A2339" s="3" t="str">
        <f>"34892021110909102548821"</f>
        <v>34892021110909102548821</v>
      </c>
      <c r="B2339" s="3" t="s">
        <v>428</v>
      </c>
      <c r="C2339" s="3" t="str">
        <f>"符钰瑜"</f>
        <v>符钰瑜</v>
      </c>
      <c r="D2339" s="3" t="s">
        <v>1942</v>
      </c>
    </row>
    <row r="2340" spans="1:4" ht="24.75" customHeight="1">
      <c r="A2340" s="3" t="str">
        <f>"34892021110909112948823"</f>
        <v>34892021110909112948823</v>
      </c>
      <c r="B2340" s="3" t="s">
        <v>428</v>
      </c>
      <c r="C2340" s="3" t="str">
        <f>"王慧"</f>
        <v>王慧</v>
      </c>
      <c r="D2340" s="3" t="s">
        <v>2142</v>
      </c>
    </row>
    <row r="2341" spans="1:4" ht="24.75" customHeight="1">
      <c r="A2341" s="3" t="str">
        <f>"34892021110909124448827"</f>
        <v>34892021110909124448827</v>
      </c>
      <c r="B2341" s="3" t="s">
        <v>428</v>
      </c>
      <c r="C2341" s="3" t="str">
        <f>"丁学康"</f>
        <v>丁学康</v>
      </c>
      <c r="D2341" s="3" t="s">
        <v>2099</v>
      </c>
    </row>
    <row r="2342" spans="1:4" ht="24.75" customHeight="1">
      <c r="A2342" s="3" t="str">
        <f>"34892021110909125948828"</f>
        <v>34892021110909125948828</v>
      </c>
      <c r="B2342" s="3" t="s">
        <v>428</v>
      </c>
      <c r="C2342" s="3" t="str">
        <f>"袁源"</f>
        <v>袁源</v>
      </c>
      <c r="D2342" s="3" t="s">
        <v>812</v>
      </c>
    </row>
    <row r="2343" spans="1:4" ht="24.75" customHeight="1">
      <c r="A2343" s="3" t="str">
        <f>"34892021110909145848833"</f>
        <v>34892021110909145848833</v>
      </c>
      <c r="B2343" s="3" t="s">
        <v>428</v>
      </c>
      <c r="C2343" s="3" t="str">
        <f>"黄小娟"</f>
        <v>黄小娟</v>
      </c>
      <c r="D2343" s="3" t="s">
        <v>996</v>
      </c>
    </row>
    <row r="2344" spans="1:4" ht="24.75" customHeight="1">
      <c r="A2344" s="3" t="str">
        <f>"34892021110909180048837"</f>
        <v>34892021110909180048837</v>
      </c>
      <c r="B2344" s="3" t="s">
        <v>428</v>
      </c>
      <c r="C2344" s="3" t="str">
        <f>"王大川"</f>
        <v>王大川</v>
      </c>
      <c r="D2344" s="3" t="s">
        <v>2143</v>
      </c>
    </row>
    <row r="2345" spans="1:4" ht="24.75" customHeight="1">
      <c r="A2345" s="3" t="str">
        <f>"34892021110909264348850"</f>
        <v>34892021110909264348850</v>
      </c>
      <c r="B2345" s="3" t="s">
        <v>428</v>
      </c>
      <c r="C2345" s="3" t="str">
        <f>"王育"</f>
        <v>王育</v>
      </c>
      <c r="D2345" s="3" t="s">
        <v>2144</v>
      </c>
    </row>
    <row r="2346" spans="1:4" ht="24.75" customHeight="1">
      <c r="A2346" s="3" t="str">
        <f>"34892021110909265348851"</f>
        <v>34892021110909265348851</v>
      </c>
      <c r="B2346" s="3" t="s">
        <v>428</v>
      </c>
      <c r="C2346" s="3" t="str">
        <f>"符惠瑜"</f>
        <v>符惠瑜</v>
      </c>
      <c r="D2346" s="3" t="s">
        <v>2145</v>
      </c>
    </row>
    <row r="2347" spans="1:4" ht="24.75" customHeight="1">
      <c r="A2347" s="3" t="str">
        <f>"34892021110909273148852"</f>
        <v>34892021110909273148852</v>
      </c>
      <c r="B2347" s="3" t="s">
        <v>428</v>
      </c>
      <c r="C2347" s="3" t="str">
        <f>"赵学伟"</f>
        <v>赵学伟</v>
      </c>
      <c r="D2347" s="3" t="s">
        <v>2146</v>
      </c>
    </row>
    <row r="2348" spans="1:4" ht="24.75" customHeight="1">
      <c r="A2348" s="3" t="str">
        <f>"34892021110909274548853"</f>
        <v>34892021110909274548853</v>
      </c>
      <c r="B2348" s="3" t="s">
        <v>428</v>
      </c>
      <c r="C2348" s="3" t="str">
        <f>"李佳馨"</f>
        <v>李佳馨</v>
      </c>
      <c r="D2348" s="3" t="s">
        <v>2147</v>
      </c>
    </row>
    <row r="2349" spans="1:4" ht="24.75" customHeight="1">
      <c r="A2349" s="3" t="str">
        <f>"34892021110909314448860"</f>
        <v>34892021110909314448860</v>
      </c>
      <c r="B2349" s="3" t="s">
        <v>428</v>
      </c>
      <c r="C2349" s="3" t="str">
        <f>"任博"</f>
        <v>任博</v>
      </c>
      <c r="D2349" s="3" t="s">
        <v>2148</v>
      </c>
    </row>
    <row r="2350" spans="1:4" ht="24.75" customHeight="1">
      <c r="A2350" s="3" t="str">
        <f>"34892021110909323848863"</f>
        <v>34892021110909323848863</v>
      </c>
      <c r="B2350" s="3" t="s">
        <v>428</v>
      </c>
      <c r="C2350" s="3" t="str">
        <f>"陈佳玲"</f>
        <v>陈佳玲</v>
      </c>
      <c r="D2350" s="3" t="s">
        <v>2149</v>
      </c>
    </row>
    <row r="2351" spans="1:4" ht="24.75" customHeight="1">
      <c r="A2351" s="3" t="str">
        <f>"34892021110909335548865"</f>
        <v>34892021110909335548865</v>
      </c>
      <c r="B2351" s="3" t="s">
        <v>428</v>
      </c>
      <c r="C2351" s="3" t="str">
        <f>"卢琦"</f>
        <v>卢琦</v>
      </c>
      <c r="D2351" s="3" t="s">
        <v>2150</v>
      </c>
    </row>
    <row r="2352" spans="1:4" ht="24.75" customHeight="1">
      <c r="A2352" s="3" t="str">
        <f>"34892021110909353548867"</f>
        <v>34892021110909353548867</v>
      </c>
      <c r="B2352" s="3" t="s">
        <v>428</v>
      </c>
      <c r="C2352" s="3" t="str">
        <f>"史俊杰"</f>
        <v>史俊杰</v>
      </c>
      <c r="D2352" s="3" t="s">
        <v>2151</v>
      </c>
    </row>
    <row r="2353" spans="1:4" ht="24.75" customHeight="1">
      <c r="A2353" s="3" t="str">
        <f>"34892021110909425248874"</f>
        <v>34892021110909425248874</v>
      </c>
      <c r="B2353" s="3" t="s">
        <v>428</v>
      </c>
      <c r="C2353" s="3" t="str">
        <f>"王鑫"</f>
        <v>王鑫</v>
      </c>
      <c r="D2353" s="3" t="s">
        <v>1608</v>
      </c>
    </row>
    <row r="2354" spans="1:4" ht="24.75" customHeight="1">
      <c r="A2354" s="3" t="str">
        <f>"34892021110909433748876"</f>
        <v>34892021110909433748876</v>
      </c>
      <c r="B2354" s="3" t="s">
        <v>428</v>
      </c>
      <c r="C2354" s="3" t="str">
        <f>"蒲婷燕"</f>
        <v>蒲婷燕</v>
      </c>
      <c r="D2354" s="3" t="s">
        <v>2152</v>
      </c>
    </row>
    <row r="2355" spans="1:4" ht="24.75" customHeight="1">
      <c r="A2355" s="3" t="str">
        <f>"34892021110909442148877"</f>
        <v>34892021110909442148877</v>
      </c>
      <c r="B2355" s="3" t="s">
        <v>428</v>
      </c>
      <c r="C2355" s="3" t="str">
        <f>"吴丹虹"</f>
        <v>吴丹虹</v>
      </c>
      <c r="D2355" s="3" t="s">
        <v>2153</v>
      </c>
    </row>
    <row r="2356" spans="1:4" ht="24.75" customHeight="1">
      <c r="A2356" s="3" t="str">
        <f>"34892021110909444148880"</f>
        <v>34892021110909444148880</v>
      </c>
      <c r="B2356" s="3" t="s">
        <v>428</v>
      </c>
      <c r="C2356" s="3" t="str">
        <f>"陈欢欢"</f>
        <v>陈欢欢</v>
      </c>
      <c r="D2356" s="3" t="s">
        <v>2154</v>
      </c>
    </row>
    <row r="2357" spans="1:4" ht="24.75" customHeight="1">
      <c r="A2357" s="3" t="str">
        <f>"34892021110909455348881"</f>
        <v>34892021110909455348881</v>
      </c>
      <c r="B2357" s="3" t="s">
        <v>428</v>
      </c>
      <c r="C2357" s="3" t="str">
        <f>"刘家声"</f>
        <v>刘家声</v>
      </c>
      <c r="D2357" s="3" t="s">
        <v>2155</v>
      </c>
    </row>
    <row r="2358" spans="1:4" ht="24.75" customHeight="1">
      <c r="A2358" s="3" t="str">
        <f>"34892021110909465448882"</f>
        <v>34892021110909465448882</v>
      </c>
      <c r="B2358" s="3" t="s">
        <v>428</v>
      </c>
      <c r="C2358" s="3" t="str">
        <f>"蔡妃"</f>
        <v>蔡妃</v>
      </c>
      <c r="D2358" s="3" t="s">
        <v>600</v>
      </c>
    </row>
    <row r="2359" spans="1:4" ht="24.75" customHeight="1">
      <c r="A2359" s="3" t="str">
        <f>"34892021110909465748883"</f>
        <v>34892021110909465748883</v>
      </c>
      <c r="B2359" s="3" t="s">
        <v>428</v>
      </c>
      <c r="C2359" s="3" t="str">
        <f>"黄琳玮"</f>
        <v>黄琳玮</v>
      </c>
      <c r="D2359" s="3" t="s">
        <v>2156</v>
      </c>
    </row>
    <row r="2360" spans="1:4" ht="24.75" customHeight="1">
      <c r="A2360" s="3" t="str">
        <f>"34892021110909472848884"</f>
        <v>34892021110909472848884</v>
      </c>
      <c r="B2360" s="3" t="s">
        <v>428</v>
      </c>
      <c r="C2360" s="3" t="str">
        <f>"袁青"</f>
        <v>袁青</v>
      </c>
      <c r="D2360" s="3" t="s">
        <v>930</v>
      </c>
    </row>
    <row r="2361" spans="1:4" ht="24.75" customHeight="1">
      <c r="A2361" s="3" t="str">
        <f>"34892021110909485648888"</f>
        <v>34892021110909485648888</v>
      </c>
      <c r="B2361" s="3" t="s">
        <v>428</v>
      </c>
      <c r="C2361" s="3" t="str">
        <f>"黄逢桐"</f>
        <v>黄逢桐</v>
      </c>
      <c r="D2361" s="3" t="s">
        <v>311</v>
      </c>
    </row>
    <row r="2362" spans="1:4" ht="24.75" customHeight="1">
      <c r="A2362" s="3" t="str">
        <f>"34892021110909500548891"</f>
        <v>34892021110909500548891</v>
      </c>
      <c r="B2362" s="3" t="s">
        <v>428</v>
      </c>
      <c r="C2362" s="3" t="str">
        <f>"容用华"</f>
        <v>容用华</v>
      </c>
      <c r="D2362" s="3" t="s">
        <v>2157</v>
      </c>
    </row>
    <row r="2363" spans="1:4" ht="24.75" customHeight="1">
      <c r="A2363" s="3" t="str">
        <f>"34892021110909531448897"</f>
        <v>34892021110909531448897</v>
      </c>
      <c r="B2363" s="3" t="s">
        <v>428</v>
      </c>
      <c r="C2363" s="3" t="str">
        <f>"岑举能"</f>
        <v>岑举能</v>
      </c>
      <c r="D2363" s="3" t="s">
        <v>2158</v>
      </c>
    </row>
    <row r="2364" spans="1:4" ht="24.75" customHeight="1">
      <c r="A2364" s="3" t="str">
        <f>"34892021110909563248902"</f>
        <v>34892021110909563248902</v>
      </c>
      <c r="B2364" s="3" t="s">
        <v>428</v>
      </c>
      <c r="C2364" s="3" t="str">
        <f>"陈进丁"</f>
        <v>陈进丁</v>
      </c>
      <c r="D2364" s="3" t="s">
        <v>2159</v>
      </c>
    </row>
    <row r="2365" spans="1:4" ht="24.75" customHeight="1">
      <c r="A2365" s="3" t="str">
        <f>"34892021110909590948905"</f>
        <v>34892021110909590948905</v>
      </c>
      <c r="B2365" s="3" t="s">
        <v>428</v>
      </c>
      <c r="C2365" s="3" t="str">
        <f>"林师锐"</f>
        <v>林师锐</v>
      </c>
      <c r="D2365" s="3" t="s">
        <v>2160</v>
      </c>
    </row>
    <row r="2366" spans="1:4" ht="24.75" customHeight="1">
      <c r="A2366" s="3" t="str">
        <f>"34892021110909591548906"</f>
        <v>34892021110909591548906</v>
      </c>
      <c r="B2366" s="3" t="s">
        <v>428</v>
      </c>
      <c r="C2366" s="3" t="str">
        <f>"张琳琳"</f>
        <v>张琳琳</v>
      </c>
      <c r="D2366" s="3" t="s">
        <v>2161</v>
      </c>
    </row>
    <row r="2367" spans="1:4" ht="24.75" customHeight="1">
      <c r="A2367" s="3" t="str">
        <f>"34892021110910010348910"</f>
        <v>34892021110910010348910</v>
      </c>
      <c r="B2367" s="3" t="s">
        <v>428</v>
      </c>
      <c r="C2367" s="3" t="str">
        <f>"王雯"</f>
        <v>王雯</v>
      </c>
      <c r="D2367" s="3" t="s">
        <v>2162</v>
      </c>
    </row>
    <row r="2368" spans="1:4" ht="24.75" customHeight="1">
      <c r="A2368" s="3" t="str">
        <f>"34892021110910010848912"</f>
        <v>34892021110910010848912</v>
      </c>
      <c r="B2368" s="3" t="s">
        <v>428</v>
      </c>
      <c r="C2368" s="3" t="str">
        <f>"柳澍琛"</f>
        <v>柳澍琛</v>
      </c>
      <c r="D2368" s="3" t="s">
        <v>2163</v>
      </c>
    </row>
    <row r="2369" spans="1:4" ht="24.75" customHeight="1">
      <c r="A2369" s="3" t="str">
        <f>"34892021110910021248917"</f>
        <v>34892021110910021248917</v>
      </c>
      <c r="B2369" s="3" t="s">
        <v>428</v>
      </c>
      <c r="C2369" s="3" t="str">
        <f>"宋敏"</f>
        <v>宋敏</v>
      </c>
      <c r="D2369" s="3" t="s">
        <v>2164</v>
      </c>
    </row>
    <row r="2370" spans="1:4" ht="24.75" customHeight="1">
      <c r="A2370" s="3" t="str">
        <f>"34892021110910092248929"</f>
        <v>34892021110910092248929</v>
      </c>
      <c r="B2370" s="3" t="s">
        <v>428</v>
      </c>
      <c r="C2370" s="3" t="str">
        <f>"李水坤"</f>
        <v>李水坤</v>
      </c>
      <c r="D2370" s="3" t="s">
        <v>2165</v>
      </c>
    </row>
    <row r="2371" spans="1:4" ht="24.75" customHeight="1">
      <c r="A2371" s="3" t="str">
        <f>"34892021110910121448933"</f>
        <v>34892021110910121448933</v>
      </c>
      <c r="B2371" s="3" t="s">
        <v>428</v>
      </c>
      <c r="C2371" s="3" t="str">
        <f>"邱惠芳"</f>
        <v>邱惠芳</v>
      </c>
      <c r="D2371" s="3" t="s">
        <v>2166</v>
      </c>
    </row>
    <row r="2372" spans="1:4" ht="24.75" customHeight="1">
      <c r="A2372" s="3" t="str">
        <f>"34892021110910133548937"</f>
        <v>34892021110910133548937</v>
      </c>
      <c r="B2372" s="3" t="s">
        <v>428</v>
      </c>
      <c r="C2372" s="3" t="str">
        <f>"古丽努尔·木哈塔尔"</f>
        <v>古丽努尔·木哈塔尔</v>
      </c>
      <c r="D2372" s="3" t="s">
        <v>2167</v>
      </c>
    </row>
    <row r="2373" spans="1:4" ht="24.75" customHeight="1">
      <c r="A2373" s="3" t="str">
        <f>"34892021110910135248938"</f>
        <v>34892021110910135248938</v>
      </c>
      <c r="B2373" s="3" t="s">
        <v>428</v>
      </c>
      <c r="C2373" s="3" t="str">
        <f>"雷皓"</f>
        <v>雷皓</v>
      </c>
      <c r="D2373" s="3" t="s">
        <v>2168</v>
      </c>
    </row>
    <row r="2374" spans="1:4" ht="24.75" customHeight="1">
      <c r="A2374" s="3" t="str">
        <f>"34892021110910180148949"</f>
        <v>34892021110910180148949</v>
      </c>
      <c r="B2374" s="3" t="s">
        <v>428</v>
      </c>
      <c r="C2374" s="3" t="str">
        <f>"麦锦珠"</f>
        <v>麦锦珠</v>
      </c>
      <c r="D2374" s="3" t="s">
        <v>981</v>
      </c>
    </row>
    <row r="2375" spans="1:4" ht="24.75" customHeight="1">
      <c r="A2375" s="3" t="str">
        <f>"34892021110910211848954"</f>
        <v>34892021110910211848954</v>
      </c>
      <c r="B2375" s="3" t="s">
        <v>428</v>
      </c>
      <c r="C2375" s="3" t="str">
        <f>"苏晓珍"</f>
        <v>苏晓珍</v>
      </c>
      <c r="D2375" s="3" t="s">
        <v>540</v>
      </c>
    </row>
    <row r="2376" spans="1:4" ht="24.75" customHeight="1">
      <c r="A2376" s="3" t="str">
        <f>"34892021110910233348957"</f>
        <v>34892021110910233348957</v>
      </c>
      <c r="B2376" s="3" t="s">
        <v>428</v>
      </c>
      <c r="C2376" s="3" t="str">
        <f>"何巧思"</f>
        <v>何巧思</v>
      </c>
      <c r="D2376" s="3" t="s">
        <v>2169</v>
      </c>
    </row>
    <row r="2377" spans="1:4" ht="24.75" customHeight="1">
      <c r="A2377" s="3" t="str">
        <f>"34892021110910261748962"</f>
        <v>34892021110910261748962</v>
      </c>
      <c r="B2377" s="3" t="s">
        <v>428</v>
      </c>
      <c r="C2377" s="3" t="str">
        <f>"郑永光"</f>
        <v>郑永光</v>
      </c>
      <c r="D2377" s="3" t="s">
        <v>2170</v>
      </c>
    </row>
    <row r="2378" spans="1:4" ht="24.75" customHeight="1">
      <c r="A2378" s="3" t="str">
        <f>"34892021110910274348966"</f>
        <v>34892021110910274348966</v>
      </c>
      <c r="B2378" s="3" t="s">
        <v>428</v>
      </c>
      <c r="C2378" s="3" t="str">
        <f>"徐艺华"</f>
        <v>徐艺华</v>
      </c>
      <c r="D2378" s="3" t="s">
        <v>2171</v>
      </c>
    </row>
    <row r="2379" spans="1:4" ht="24.75" customHeight="1">
      <c r="A2379" s="3" t="str">
        <f>"34892021110910293948969"</f>
        <v>34892021110910293948969</v>
      </c>
      <c r="B2379" s="3" t="s">
        <v>428</v>
      </c>
      <c r="C2379" s="3" t="str">
        <f>"林丹"</f>
        <v>林丹</v>
      </c>
      <c r="D2379" s="3" t="s">
        <v>2077</v>
      </c>
    </row>
    <row r="2380" spans="1:4" ht="24.75" customHeight="1">
      <c r="A2380" s="3" t="str">
        <f>"34892021110910302348973"</f>
        <v>34892021110910302348973</v>
      </c>
      <c r="B2380" s="3" t="s">
        <v>428</v>
      </c>
      <c r="C2380" s="3" t="str">
        <f>"陈玉珠"</f>
        <v>陈玉珠</v>
      </c>
      <c r="D2380" s="3" t="s">
        <v>2172</v>
      </c>
    </row>
    <row r="2381" spans="1:4" ht="24.75" customHeight="1">
      <c r="A2381" s="3" t="str">
        <f>"34892021110910311848976"</f>
        <v>34892021110910311848976</v>
      </c>
      <c r="B2381" s="3" t="s">
        <v>428</v>
      </c>
      <c r="C2381" s="3" t="str">
        <f>"蔡泠金"</f>
        <v>蔡泠金</v>
      </c>
      <c r="D2381" s="3" t="s">
        <v>2173</v>
      </c>
    </row>
    <row r="2382" spans="1:4" ht="24.75" customHeight="1">
      <c r="A2382" s="3" t="str">
        <f>"34892021110910314848978"</f>
        <v>34892021110910314848978</v>
      </c>
      <c r="B2382" s="3" t="s">
        <v>428</v>
      </c>
      <c r="C2382" s="3" t="str">
        <f>"陈韵"</f>
        <v>陈韵</v>
      </c>
      <c r="D2382" s="3" t="s">
        <v>2174</v>
      </c>
    </row>
    <row r="2383" spans="1:4" ht="24.75" customHeight="1">
      <c r="A2383" s="3" t="str">
        <f>"34892021110910335248981"</f>
        <v>34892021110910335248981</v>
      </c>
      <c r="B2383" s="3" t="s">
        <v>428</v>
      </c>
      <c r="C2383" s="3" t="str">
        <f>"陈冲"</f>
        <v>陈冲</v>
      </c>
      <c r="D2383" s="3" t="s">
        <v>2175</v>
      </c>
    </row>
    <row r="2384" spans="1:4" ht="24.75" customHeight="1">
      <c r="A2384" s="3" t="str">
        <f>"34892021110910350048982"</f>
        <v>34892021110910350048982</v>
      </c>
      <c r="B2384" s="3" t="s">
        <v>428</v>
      </c>
      <c r="C2384" s="3" t="str">
        <f>"李娇妮"</f>
        <v>李娇妮</v>
      </c>
      <c r="D2384" s="3" t="s">
        <v>2176</v>
      </c>
    </row>
    <row r="2385" spans="1:4" ht="24.75" customHeight="1">
      <c r="A2385" s="3" t="str">
        <f>"34892021110910350548983"</f>
        <v>34892021110910350548983</v>
      </c>
      <c r="B2385" s="3" t="s">
        <v>428</v>
      </c>
      <c r="C2385" s="3" t="str">
        <f>"林蔓蕾"</f>
        <v>林蔓蕾</v>
      </c>
      <c r="D2385" s="3" t="s">
        <v>274</v>
      </c>
    </row>
    <row r="2386" spans="1:4" ht="24.75" customHeight="1">
      <c r="A2386" s="3" t="str">
        <f>"34892021110910365148985"</f>
        <v>34892021110910365148985</v>
      </c>
      <c r="B2386" s="3" t="s">
        <v>428</v>
      </c>
      <c r="C2386" s="3" t="str">
        <f>"何丹丹"</f>
        <v>何丹丹</v>
      </c>
      <c r="D2386" s="3" t="s">
        <v>2177</v>
      </c>
    </row>
    <row r="2387" spans="1:4" ht="24.75" customHeight="1">
      <c r="A2387" s="3" t="str">
        <f>"34892021110910374748987"</f>
        <v>34892021110910374748987</v>
      </c>
      <c r="B2387" s="3" t="s">
        <v>428</v>
      </c>
      <c r="C2387" s="3" t="str">
        <f>"胡杨劼"</f>
        <v>胡杨劼</v>
      </c>
      <c r="D2387" s="3" t="s">
        <v>2178</v>
      </c>
    </row>
    <row r="2388" spans="1:4" ht="24.75" customHeight="1">
      <c r="A2388" s="3" t="str">
        <f>"34892021110910380348988"</f>
        <v>34892021110910380348988</v>
      </c>
      <c r="B2388" s="3" t="s">
        <v>428</v>
      </c>
      <c r="C2388" s="3" t="str">
        <f>"蒙琼妹"</f>
        <v>蒙琼妹</v>
      </c>
      <c r="D2388" s="3" t="s">
        <v>2179</v>
      </c>
    </row>
    <row r="2389" spans="1:4" ht="24.75" customHeight="1">
      <c r="A2389" s="3" t="str">
        <f>"34892021110910412648993"</f>
        <v>34892021110910412648993</v>
      </c>
      <c r="B2389" s="3" t="s">
        <v>428</v>
      </c>
      <c r="C2389" s="3" t="str">
        <f>"吴春晓"</f>
        <v>吴春晓</v>
      </c>
      <c r="D2389" s="3" t="s">
        <v>2180</v>
      </c>
    </row>
    <row r="2390" spans="1:4" ht="24.75" customHeight="1">
      <c r="A2390" s="3" t="str">
        <f>"34892021110910451448998"</f>
        <v>34892021110910451448998</v>
      </c>
      <c r="B2390" s="3" t="s">
        <v>428</v>
      </c>
      <c r="C2390" s="3" t="str">
        <f>"张醒"</f>
        <v>张醒</v>
      </c>
      <c r="D2390" s="3" t="s">
        <v>2181</v>
      </c>
    </row>
    <row r="2391" spans="1:4" ht="24.75" customHeight="1">
      <c r="A2391" s="3" t="str">
        <f>"34892021110910501649005"</f>
        <v>34892021110910501649005</v>
      </c>
      <c r="B2391" s="3" t="s">
        <v>428</v>
      </c>
      <c r="C2391" s="3" t="str">
        <f>"姜亭"</f>
        <v>姜亭</v>
      </c>
      <c r="D2391" s="3" t="s">
        <v>2182</v>
      </c>
    </row>
    <row r="2392" spans="1:4" ht="24.75" customHeight="1">
      <c r="A2392" s="3" t="str">
        <f>"34892021110910501849006"</f>
        <v>34892021110910501849006</v>
      </c>
      <c r="B2392" s="3" t="s">
        <v>428</v>
      </c>
      <c r="C2392" s="3" t="str">
        <f>"杨仁海"</f>
        <v>杨仁海</v>
      </c>
      <c r="D2392" s="3" t="s">
        <v>2183</v>
      </c>
    </row>
    <row r="2393" spans="1:4" ht="24.75" customHeight="1">
      <c r="A2393" s="3" t="str">
        <f>"34892021110910511949010"</f>
        <v>34892021110910511949010</v>
      </c>
      <c r="B2393" s="3" t="s">
        <v>428</v>
      </c>
      <c r="C2393" s="3" t="str">
        <f>"张羽"</f>
        <v>张羽</v>
      </c>
      <c r="D2393" s="3" t="s">
        <v>2184</v>
      </c>
    </row>
    <row r="2394" spans="1:4" ht="24.75" customHeight="1">
      <c r="A2394" s="3" t="str">
        <f>"34892021110910533849014"</f>
        <v>34892021110910533849014</v>
      </c>
      <c r="B2394" s="3" t="s">
        <v>428</v>
      </c>
      <c r="C2394" s="3" t="str">
        <f>"叶秀珠"</f>
        <v>叶秀珠</v>
      </c>
      <c r="D2394" s="3" t="s">
        <v>2185</v>
      </c>
    </row>
    <row r="2395" spans="1:4" ht="24.75" customHeight="1">
      <c r="A2395" s="3" t="str">
        <f>"34892021110910541149016"</f>
        <v>34892021110910541149016</v>
      </c>
      <c r="B2395" s="3" t="s">
        <v>428</v>
      </c>
      <c r="C2395" s="3" t="str">
        <f>"王功"</f>
        <v>王功</v>
      </c>
      <c r="D2395" s="3" t="s">
        <v>2186</v>
      </c>
    </row>
    <row r="2396" spans="1:4" ht="24.75" customHeight="1">
      <c r="A2396" s="3" t="str">
        <f>"34892021110910543249017"</f>
        <v>34892021110910543249017</v>
      </c>
      <c r="B2396" s="3" t="s">
        <v>428</v>
      </c>
      <c r="C2396" s="3" t="str">
        <f>"陈秋燕"</f>
        <v>陈秋燕</v>
      </c>
      <c r="D2396" s="3" t="s">
        <v>2187</v>
      </c>
    </row>
    <row r="2397" spans="1:4" ht="24.75" customHeight="1">
      <c r="A2397" s="3" t="str">
        <f>"34892021110911002449024"</f>
        <v>34892021110911002449024</v>
      </c>
      <c r="B2397" s="3" t="s">
        <v>428</v>
      </c>
      <c r="C2397" s="3" t="str">
        <f>"苏大花"</f>
        <v>苏大花</v>
      </c>
      <c r="D2397" s="3" t="s">
        <v>2188</v>
      </c>
    </row>
    <row r="2398" spans="1:4" ht="24.75" customHeight="1">
      <c r="A2398" s="3" t="str">
        <f>"34892021110911022249027"</f>
        <v>34892021110911022249027</v>
      </c>
      <c r="B2398" s="3" t="s">
        <v>428</v>
      </c>
      <c r="C2398" s="3" t="str">
        <f>"廖克博"</f>
        <v>廖克博</v>
      </c>
      <c r="D2398" s="3" t="s">
        <v>2189</v>
      </c>
    </row>
    <row r="2399" spans="1:4" ht="24.75" customHeight="1">
      <c r="A2399" s="3" t="str">
        <f>"34892021110911040949029"</f>
        <v>34892021110911040949029</v>
      </c>
      <c r="B2399" s="3" t="s">
        <v>428</v>
      </c>
      <c r="C2399" s="3" t="str">
        <f>"林娇慧"</f>
        <v>林娇慧</v>
      </c>
      <c r="D2399" s="3" t="s">
        <v>2190</v>
      </c>
    </row>
    <row r="2400" spans="1:4" ht="24.75" customHeight="1">
      <c r="A2400" s="3" t="str">
        <f>"34892021110911070349031"</f>
        <v>34892021110911070349031</v>
      </c>
      <c r="B2400" s="3" t="s">
        <v>428</v>
      </c>
      <c r="C2400" s="3" t="str">
        <f>"符大林"</f>
        <v>符大林</v>
      </c>
      <c r="D2400" s="3" t="s">
        <v>2191</v>
      </c>
    </row>
    <row r="2401" spans="1:4" ht="24.75" customHeight="1">
      <c r="A2401" s="3" t="str">
        <f>"34892021110911091449033"</f>
        <v>34892021110911091449033</v>
      </c>
      <c r="B2401" s="3" t="s">
        <v>428</v>
      </c>
      <c r="C2401" s="3" t="str">
        <f>"梁湘菲"</f>
        <v>梁湘菲</v>
      </c>
      <c r="D2401" s="3" t="s">
        <v>2192</v>
      </c>
    </row>
    <row r="2402" spans="1:4" ht="24.75" customHeight="1">
      <c r="A2402" s="3" t="str">
        <f>"34892021110911092849034"</f>
        <v>34892021110911092849034</v>
      </c>
      <c r="B2402" s="3" t="s">
        <v>428</v>
      </c>
      <c r="C2402" s="3" t="str">
        <f>"王业清"</f>
        <v>王业清</v>
      </c>
      <c r="D2402" s="3" t="s">
        <v>276</v>
      </c>
    </row>
    <row r="2403" spans="1:4" ht="24.75" customHeight="1">
      <c r="A2403" s="3" t="str">
        <f>"34892021110911110049037"</f>
        <v>34892021110911110049037</v>
      </c>
      <c r="B2403" s="3" t="s">
        <v>428</v>
      </c>
      <c r="C2403" s="3" t="str">
        <f>"羊菊秀"</f>
        <v>羊菊秀</v>
      </c>
      <c r="D2403" s="3" t="s">
        <v>2193</v>
      </c>
    </row>
    <row r="2404" spans="1:4" ht="24.75" customHeight="1">
      <c r="A2404" s="3" t="str">
        <f>"34892021110911132449041"</f>
        <v>34892021110911132449041</v>
      </c>
      <c r="B2404" s="3" t="s">
        <v>428</v>
      </c>
      <c r="C2404" s="3" t="str">
        <f>"黄莹"</f>
        <v>黄莹</v>
      </c>
      <c r="D2404" s="3" t="s">
        <v>2194</v>
      </c>
    </row>
    <row r="2405" spans="1:4" ht="24.75" customHeight="1">
      <c r="A2405" s="3" t="str">
        <f>"34892021110911144849045"</f>
        <v>34892021110911144849045</v>
      </c>
      <c r="B2405" s="3" t="s">
        <v>428</v>
      </c>
      <c r="C2405" s="3" t="str">
        <f>"吴伟伟"</f>
        <v>吴伟伟</v>
      </c>
      <c r="D2405" s="3" t="s">
        <v>2195</v>
      </c>
    </row>
    <row r="2406" spans="1:4" ht="24.75" customHeight="1">
      <c r="A2406" s="3" t="str">
        <f>"34892021110911150849047"</f>
        <v>34892021110911150849047</v>
      </c>
      <c r="B2406" s="3" t="s">
        <v>428</v>
      </c>
      <c r="C2406" s="3" t="str">
        <f>"林涛"</f>
        <v>林涛</v>
      </c>
      <c r="D2406" s="3" t="s">
        <v>2196</v>
      </c>
    </row>
    <row r="2407" spans="1:4" ht="24.75" customHeight="1">
      <c r="A2407" s="3" t="str">
        <f>"34892021110911153849049"</f>
        <v>34892021110911153849049</v>
      </c>
      <c r="B2407" s="3" t="s">
        <v>428</v>
      </c>
      <c r="C2407" s="3" t="str">
        <f>"陈小妹"</f>
        <v>陈小妹</v>
      </c>
      <c r="D2407" s="3" t="s">
        <v>2197</v>
      </c>
    </row>
    <row r="2408" spans="1:4" ht="24.75" customHeight="1">
      <c r="A2408" s="3" t="str">
        <f>"34892021110911222649061"</f>
        <v>34892021110911222649061</v>
      </c>
      <c r="B2408" s="3" t="s">
        <v>428</v>
      </c>
      <c r="C2408" s="3" t="str">
        <f>"林友颖"</f>
        <v>林友颖</v>
      </c>
      <c r="D2408" s="3" t="s">
        <v>2198</v>
      </c>
    </row>
    <row r="2409" spans="1:4" ht="24.75" customHeight="1">
      <c r="A2409" s="3" t="str">
        <f>"34892021110911294049071"</f>
        <v>34892021110911294049071</v>
      </c>
      <c r="B2409" s="3" t="s">
        <v>428</v>
      </c>
      <c r="C2409" s="3" t="str">
        <f>"黄家卫"</f>
        <v>黄家卫</v>
      </c>
      <c r="D2409" s="3" t="s">
        <v>2199</v>
      </c>
    </row>
    <row r="2410" spans="1:4" ht="24.75" customHeight="1">
      <c r="A2410" s="3" t="str">
        <f>"34892021110911332349079"</f>
        <v>34892021110911332349079</v>
      </c>
      <c r="B2410" s="3" t="s">
        <v>428</v>
      </c>
      <c r="C2410" s="3" t="str">
        <f>"张艳"</f>
        <v>张艳</v>
      </c>
      <c r="D2410" s="3" t="s">
        <v>2200</v>
      </c>
    </row>
    <row r="2411" spans="1:4" ht="24.75" customHeight="1">
      <c r="A2411" s="3" t="str">
        <f>"34892021110911354549081"</f>
        <v>34892021110911354549081</v>
      </c>
      <c r="B2411" s="3" t="s">
        <v>428</v>
      </c>
      <c r="C2411" s="3" t="str">
        <f>"陈韵杰"</f>
        <v>陈韵杰</v>
      </c>
      <c r="D2411" s="3" t="s">
        <v>2201</v>
      </c>
    </row>
    <row r="2412" spans="1:4" ht="24.75" customHeight="1">
      <c r="A2412" s="3" t="str">
        <f>"34892021110911384949083"</f>
        <v>34892021110911384949083</v>
      </c>
      <c r="B2412" s="3" t="s">
        <v>428</v>
      </c>
      <c r="C2412" s="3" t="str">
        <f>"郭飞怡"</f>
        <v>郭飞怡</v>
      </c>
      <c r="D2412" s="3" t="s">
        <v>2202</v>
      </c>
    </row>
    <row r="2413" spans="1:4" ht="24.75" customHeight="1">
      <c r="A2413" s="3" t="str">
        <f>"34892021110911403049086"</f>
        <v>34892021110911403049086</v>
      </c>
      <c r="B2413" s="3" t="s">
        <v>428</v>
      </c>
      <c r="C2413" s="3" t="str">
        <f>"韩钰铃"</f>
        <v>韩钰铃</v>
      </c>
      <c r="D2413" s="3" t="s">
        <v>2203</v>
      </c>
    </row>
    <row r="2414" spans="1:4" ht="24.75" customHeight="1">
      <c r="A2414" s="3" t="str">
        <f>"34892021110911413749090"</f>
        <v>34892021110911413749090</v>
      </c>
      <c r="B2414" s="3" t="s">
        <v>428</v>
      </c>
      <c r="C2414" s="3" t="str">
        <f>"徐军"</f>
        <v>徐军</v>
      </c>
      <c r="D2414" s="3" t="s">
        <v>2204</v>
      </c>
    </row>
    <row r="2415" spans="1:4" ht="24.75" customHeight="1">
      <c r="A2415" s="3" t="str">
        <f>"34892021110911421749091"</f>
        <v>34892021110911421749091</v>
      </c>
      <c r="B2415" s="3" t="s">
        <v>428</v>
      </c>
      <c r="C2415" s="3" t="str">
        <f>"陈正芳"</f>
        <v>陈正芳</v>
      </c>
      <c r="D2415" s="3" t="s">
        <v>2205</v>
      </c>
    </row>
    <row r="2416" spans="1:4" ht="24.75" customHeight="1">
      <c r="A2416" s="3" t="str">
        <f>"34892021110911481549098"</f>
        <v>34892021110911481549098</v>
      </c>
      <c r="B2416" s="3" t="s">
        <v>428</v>
      </c>
      <c r="C2416" s="3" t="str">
        <f>"符秋芬"</f>
        <v>符秋芬</v>
      </c>
      <c r="D2416" s="3" t="s">
        <v>2206</v>
      </c>
    </row>
    <row r="2417" spans="1:4" ht="24.75" customHeight="1">
      <c r="A2417" s="3" t="str">
        <f>"34892021110911533349103"</f>
        <v>34892021110911533349103</v>
      </c>
      <c r="B2417" s="3" t="s">
        <v>428</v>
      </c>
      <c r="C2417" s="3" t="str">
        <f>"郭衍国"</f>
        <v>郭衍国</v>
      </c>
      <c r="D2417" s="3" t="s">
        <v>2207</v>
      </c>
    </row>
    <row r="2418" spans="1:4" ht="24.75" customHeight="1">
      <c r="A2418" s="3" t="str">
        <f>"34892021110911534349104"</f>
        <v>34892021110911534349104</v>
      </c>
      <c r="B2418" s="3" t="s">
        <v>428</v>
      </c>
      <c r="C2418" s="3" t="str">
        <f>"徐丽妃"</f>
        <v>徐丽妃</v>
      </c>
      <c r="D2418" s="3" t="s">
        <v>22</v>
      </c>
    </row>
    <row r="2419" spans="1:4" ht="24.75" customHeight="1">
      <c r="A2419" s="3" t="str">
        <f>"34892021110911544849105"</f>
        <v>34892021110911544849105</v>
      </c>
      <c r="B2419" s="3" t="s">
        <v>428</v>
      </c>
      <c r="C2419" s="3" t="str">
        <f>"谢君绮"</f>
        <v>谢君绮</v>
      </c>
      <c r="D2419" s="3" t="s">
        <v>2208</v>
      </c>
    </row>
    <row r="2420" spans="1:4" ht="24.75" customHeight="1">
      <c r="A2420" s="3" t="str">
        <f>"34892021110911560249107"</f>
        <v>34892021110911560249107</v>
      </c>
      <c r="B2420" s="3" t="s">
        <v>428</v>
      </c>
      <c r="C2420" s="3" t="str">
        <f>"吴小萍"</f>
        <v>吴小萍</v>
      </c>
      <c r="D2420" s="3" t="s">
        <v>2159</v>
      </c>
    </row>
    <row r="2421" spans="1:4" ht="24.75" customHeight="1">
      <c r="A2421" s="3" t="str">
        <f>"34892021110912000449110"</f>
        <v>34892021110912000449110</v>
      </c>
      <c r="B2421" s="3" t="s">
        <v>428</v>
      </c>
      <c r="C2421" s="3" t="str">
        <f>"李裕师"</f>
        <v>李裕师</v>
      </c>
      <c r="D2421" s="3" t="s">
        <v>1269</v>
      </c>
    </row>
    <row r="2422" spans="1:4" ht="24.75" customHeight="1">
      <c r="A2422" s="3" t="str">
        <f>"34892021110912055149111"</f>
        <v>34892021110912055149111</v>
      </c>
      <c r="B2422" s="3" t="s">
        <v>428</v>
      </c>
      <c r="C2422" s="3" t="str">
        <f>"陈尔涌"</f>
        <v>陈尔涌</v>
      </c>
      <c r="D2422" s="3" t="s">
        <v>2209</v>
      </c>
    </row>
    <row r="2423" spans="1:4" ht="24.75" customHeight="1">
      <c r="A2423" s="3" t="str">
        <f>"34892021110912063049112"</f>
        <v>34892021110912063049112</v>
      </c>
      <c r="B2423" s="3" t="s">
        <v>428</v>
      </c>
      <c r="C2423" s="3" t="str">
        <f>"谭亦琳"</f>
        <v>谭亦琳</v>
      </c>
      <c r="D2423" s="3" t="s">
        <v>2210</v>
      </c>
    </row>
    <row r="2424" spans="1:4" ht="24.75" customHeight="1">
      <c r="A2424" s="3" t="str">
        <f>"34892021110912120849115"</f>
        <v>34892021110912120849115</v>
      </c>
      <c r="B2424" s="3" t="s">
        <v>428</v>
      </c>
      <c r="C2424" s="3" t="str">
        <f>"黄柱"</f>
        <v>黄柱</v>
      </c>
      <c r="D2424" s="3" t="s">
        <v>2211</v>
      </c>
    </row>
    <row r="2425" spans="1:4" ht="24.75" customHeight="1">
      <c r="A2425" s="3" t="str">
        <f>"34892021110912123749116"</f>
        <v>34892021110912123749116</v>
      </c>
      <c r="B2425" s="3" t="s">
        <v>428</v>
      </c>
      <c r="C2425" s="3" t="str">
        <f>"王力"</f>
        <v>王力</v>
      </c>
      <c r="D2425" s="3" t="s">
        <v>2212</v>
      </c>
    </row>
    <row r="2426" spans="1:4" ht="24.75" customHeight="1">
      <c r="A2426" s="3" t="str">
        <f>"34892021110912125149117"</f>
        <v>34892021110912125149117</v>
      </c>
      <c r="B2426" s="3" t="s">
        <v>428</v>
      </c>
      <c r="C2426" s="3" t="str">
        <f>"关程"</f>
        <v>关程</v>
      </c>
      <c r="D2426" s="3" t="s">
        <v>2213</v>
      </c>
    </row>
    <row r="2427" spans="1:4" ht="24.75" customHeight="1">
      <c r="A2427" s="3" t="str">
        <f>"34892021110912165149118"</f>
        <v>34892021110912165149118</v>
      </c>
      <c r="B2427" s="3" t="s">
        <v>428</v>
      </c>
      <c r="C2427" s="3" t="str">
        <f>"刘丹"</f>
        <v>刘丹</v>
      </c>
      <c r="D2427" s="3" t="s">
        <v>2214</v>
      </c>
    </row>
    <row r="2428" spans="1:4" ht="24.75" customHeight="1">
      <c r="A2428" s="3" t="str">
        <f>"34892021110912181849120"</f>
        <v>34892021110912181849120</v>
      </c>
      <c r="B2428" s="3" t="s">
        <v>428</v>
      </c>
      <c r="C2428" s="3" t="str">
        <f>"郭海婷"</f>
        <v>郭海婷</v>
      </c>
      <c r="D2428" s="3" t="s">
        <v>2215</v>
      </c>
    </row>
    <row r="2429" spans="1:4" ht="24.75" customHeight="1">
      <c r="A2429" s="3" t="str">
        <f>"34892021110912190249121"</f>
        <v>34892021110912190249121</v>
      </c>
      <c r="B2429" s="3" t="s">
        <v>428</v>
      </c>
      <c r="C2429" s="3" t="str">
        <f>"许倩"</f>
        <v>许倩</v>
      </c>
      <c r="D2429" s="3" t="s">
        <v>1183</v>
      </c>
    </row>
    <row r="2430" spans="1:4" ht="24.75" customHeight="1">
      <c r="A2430" s="3" t="str">
        <f>"34892021110912252849123"</f>
        <v>34892021110912252849123</v>
      </c>
      <c r="B2430" s="3" t="s">
        <v>428</v>
      </c>
      <c r="C2430" s="3" t="str">
        <f>"王佳蕊"</f>
        <v>王佳蕊</v>
      </c>
      <c r="D2430" s="3" t="s">
        <v>930</v>
      </c>
    </row>
    <row r="2431" spans="1:4" ht="24.75" customHeight="1">
      <c r="A2431" s="3" t="str">
        <f>"34892021110912280049125"</f>
        <v>34892021110912280049125</v>
      </c>
      <c r="B2431" s="3" t="s">
        <v>428</v>
      </c>
      <c r="C2431" s="3" t="str">
        <f>"柯蕾"</f>
        <v>柯蕾</v>
      </c>
      <c r="D2431" s="3" t="s">
        <v>2216</v>
      </c>
    </row>
    <row r="2432" spans="1:4" ht="24.75" customHeight="1">
      <c r="A2432" s="3" t="str">
        <f>"34892021110912311949127"</f>
        <v>34892021110912311949127</v>
      </c>
      <c r="B2432" s="3" t="s">
        <v>428</v>
      </c>
      <c r="C2432" s="3" t="str">
        <f>"张俐莉"</f>
        <v>张俐莉</v>
      </c>
      <c r="D2432" s="3" t="s">
        <v>2217</v>
      </c>
    </row>
    <row r="2433" spans="1:4" ht="24.75" customHeight="1">
      <c r="A2433" s="3" t="str">
        <f>"34892021110912361949132"</f>
        <v>34892021110912361949132</v>
      </c>
      <c r="B2433" s="3" t="s">
        <v>428</v>
      </c>
      <c r="C2433" s="3" t="str">
        <f>"李晓芬"</f>
        <v>李晓芬</v>
      </c>
      <c r="D2433" s="3" t="s">
        <v>2218</v>
      </c>
    </row>
    <row r="2434" spans="1:4" ht="24.75" customHeight="1">
      <c r="A2434" s="3" t="str">
        <f>"34892021110912371649134"</f>
        <v>34892021110912371649134</v>
      </c>
      <c r="B2434" s="3" t="s">
        <v>428</v>
      </c>
      <c r="C2434" s="3" t="str">
        <f>"陈瑞红"</f>
        <v>陈瑞红</v>
      </c>
      <c r="D2434" s="3" t="s">
        <v>2219</v>
      </c>
    </row>
    <row r="2435" spans="1:4" ht="24.75" customHeight="1">
      <c r="A2435" s="3" t="str">
        <f>"34892021110912413049138"</f>
        <v>34892021110912413049138</v>
      </c>
      <c r="B2435" s="3" t="s">
        <v>428</v>
      </c>
      <c r="C2435" s="3" t="str">
        <f>"吴送婉"</f>
        <v>吴送婉</v>
      </c>
      <c r="D2435" s="3" t="s">
        <v>2220</v>
      </c>
    </row>
    <row r="2436" spans="1:4" ht="24.75" customHeight="1">
      <c r="A2436" s="3" t="str">
        <f>"34892021110912453449141"</f>
        <v>34892021110912453449141</v>
      </c>
      <c r="B2436" s="3" t="s">
        <v>428</v>
      </c>
      <c r="C2436" s="3" t="str">
        <f>"王涵"</f>
        <v>王涵</v>
      </c>
      <c r="D2436" s="3" t="s">
        <v>2221</v>
      </c>
    </row>
    <row r="2437" spans="1:4" ht="24.75" customHeight="1">
      <c r="A2437" s="3" t="str">
        <f>"34892021110912462749142"</f>
        <v>34892021110912462749142</v>
      </c>
      <c r="B2437" s="3" t="s">
        <v>428</v>
      </c>
      <c r="C2437" s="3" t="str">
        <f>"王玲"</f>
        <v>王玲</v>
      </c>
      <c r="D2437" s="3" t="s">
        <v>2222</v>
      </c>
    </row>
    <row r="2438" spans="1:4" ht="24.75" customHeight="1">
      <c r="A2438" s="3" t="str">
        <f>"34892021110912473549144"</f>
        <v>34892021110912473549144</v>
      </c>
      <c r="B2438" s="3" t="s">
        <v>428</v>
      </c>
      <c r="C2438" s="3" t="str">
        <f>"陈琳"</f>
        <v>陈琳</v>
      </c>
      <c r="D2438" s="3" t="s">
        <v>2223</v>
      </c>
    </row>
    <row r="2439" spans="1:4" ht="24.75" customHeight="1">
      <c r="A2439" s="3" t="str">
        <f>"34892021110912522549149"</f>
        <v>34892021110912522549149</v>
      </c>
      <c r="B2439" s="3" t="s">
        <v>428</v>
      </c>
      <c r="C2439" s="3" t="str">
        <f>"候传任"</f>
        <v>候传任</v>
      </c>
      <c r="D2439" s="3" t="s">
        <v>2224</v>
      </c>
    </row>
    <row r="2440" spans="1:4" ht="24.75" customHeight="1">
      <c r="A2440" s="3" t="str">
        <f>"34892021110912535549150"</f>
        <v>34892021110912535549150</v>
      </c>
      <c r="B2440" s="3" t="s">
        <v>428</v>
      </c>
      <c r="C2440" s="3" t="str">
        <f>"何诚"</f>
        <v>何诚</v>
      </c>
      <c r="D2440" s="3" t="s">
        <v>2225</v>
      </c>
    </row>
    <row r="2441" spans="1:4" ht="24.75" customHeight="1">
      <c r="A2441" s="3" t="str">
        <f>"34892021110912540649151"</f>
        <v>34892021110912540649151</v>
      </c>
      <c r="B2441" s="3" t="s">
        <v>428</v>
      </c>
      <c r="C2441" s="3" t="str">
        <f>"林爱"</f>
        <v>林爱</v>
      </c>
      <c r="D2441" s="3" t="s">
        <v>768</v>
      </c>
    </row>
    <row r="2442" spans="1:4" ht="24.75" customHeight="1">
      <c r="A2442" s="3" t="str">
        <f>"34892021110912564749152"</f>
        <v>34892021110912564749152</v>
      </c>
      <c r="B2442" s="3" t="s">
        <v>428</v>
      </c>
      <c r="C2442" s="3" t="str">
        <f>"吴月来"</f>
        <v>吴月来</v>
      </c>
      <c r="D2442" s="3" t="s">
        <v>823</v>
      </c>
    </row>
    <row r="2443" spans="1:4" ht="24.75" customHeight="1">
      <c r="A2443" s="3" t="str">
        <f>"34892021110913033049155"</f>
        <v>34892021110913033049155</v>
      </c>
      <c r="B2443" s="3" t="s">
        <v>428</v>
      </c>
      <c r="C2443" s="3" t="str">
        <f>"张舒"</f>
        <v>张舒</v>
      </c>
      <c r="D2443" s="3" t="s">
        <v>2226</v>
      </c>
    </row>
    <row r="2444" spans="1:4" ht="24.75" customHeight="1">
      <c r="A2444" s="3" t="str">
        <f>"34892021110913044849158"</f>
        <v>34892021110913044849158</v>
      </c>
      <c r="B2444" s="3" t="s">
        <v>428</v>
      </c>
      <c r="C2444" s="3" t="str">
        <f>"凌家益"</f>
        <v>凌家益</v>
      </c>
      <c r="D2444" s="3" t="s">
        <v>2227</v>
      </c>
    </row>
    <row r="2445" spans="1:4" ht="24.75" customHeight="1">
      <c r="A2445" s="3" t="str">
        <f>"34892021110913065349159"</f>
        <v>34892021110913065349159</v>
      </c>
      <c r="B2445" s="3" t="s">
        <v>428</v>
      </c>
      <c r="C2445" s="3" t="str">
        <f>"邱宝"</f>
        <v>邱宝</v>
      </c>
      <c r="D2445" s="3" t="s">
        <v>2228</v>
      </c>
    </row>
    <row r="2446" spans="1:4" ht="24.75" customHeight="1">
      <c r="A2446" s="3" t="str">
        <f>"34892021110913074749161"</f>
        <v>34892021110913074749161</v>
      </c>
      <c r="B2446" s="3" t="s">
        <v>428</v>
      </c>
      <c r="C2446" s="3" t="str">
        <f>"王海秋"</f>
        <v>王海秋</v>
      </c>
      <c r="D2446" s="3" t="s">
        <v>2229</v>
      </c>
    </row>
    <row r="2447" spans="1:4" ht="24.75" customHeight="1">
      <c r="A2447" s="3" t="str">
        <f>"34892021110913120249166"</f>
        <v>34892021110913120249166</v>
      </c>
      <c r="B2447" s="3" t="s">
        <v>428</v>
      </c>
      <c r="C2447" s="3" t="str">
        <f>"林鑫"</f>
        <v>林鑫</v>
      </c>
      <c r="D2447" s="3" t="s">
        <v>2230</v>
      </c>
    </row>
    <row r="2448" spans="1:4" ht="24.75" customHeight="1">
      <c r="A2448" s="3" t="str">
        <f>"34892021110913135749169"</f>
        <v>34892021110913135749169</v>
      </c>
      <c r="B2448" s="3" t="s">
        <v>428</v>
      </c>
      <c r="C2448" s="3" t="str">
        <f>"阮仕慧"</f>
        <v>阮仕慧</v>
      </c>
      <c r="D2448" s="3" t="s">
        <v>2231</v>
      </c>
    </row>
    <row r="2449" spans="1:4" ht="24.75" customHeight="1">
      <c r="A2449" s="3" t="str">
        <f>"34892021110913150149172"</f>
        <v>34892021110913150149172</v>
      </c>
      <c r="B2449" s="3" t="s">
        <v>428</v>
      </c>
      <c r="C2449" s="3" t="str">
        <f>"林应军"</f>
        <v>林应军</v>
      </c>
      <c r="D2449" s="3" t="s">
        <v>2232</v>
      </c>
    </row>
    <row r="2450" spans="1:4" ht="24.75" customHeight="1">
      <c r="A2450" s="3" t="str">
        <f>"34892021110913152149173"</f>
        <v>34892021110913152149173</v>
      </c>
      <c r="B2450" s="3" t="s">
        <v>428</v>
      </c>
      <c r="C2450" s="3" t="str">
        <f>"吕明灏"</f>
        <v>吕明灏</v>
      </c>
      <c r="D2450" s="3" t="s">
        <v>2233</v>
      </c>
    </row>
    <row r="2451" spans="1:4" ht="24.75" customHeight="1">
      <c r="A2451" s="3" t="str">
        <f>"34892021110913185649176"</f>
        <v>34892021110913185649176</v>
      </c>
      <c r="B2451" s="3" t="s">
        <v>428</v>
      </c>
      <c r="C2451" s="3" t="str">
        <f>"李林烨"</f>
        <v>李林烨</v>
      </c>
      <c r="D2451" s="3" t="s">
        <v>2234</v>
      </c>
    </row>
    <row r="2452" spans="1:4" ht="24.75" customHeight="1">
      <c r="A2452" s="3" t="str">
        <f>"34892021110913220649178"</f>
        <v>34892021110913220649178</v>
      </c>
      <c r="B2452" s="3" t="s">
        <v>428</v>
      </c>
      <c r="C2452" s="3" t="str">
        <f>"董俊龙"</f>
        <v>董俊龙</v>
      </c>
      <c r="D2452" s="3" t="s">
        <v>2235</v>
      </c>
    </row>
    <row r="2453" spans="1:4" ht="24.75" customHeight="1">
      <c r="A2453" s="3" t="str">
        <f>"34892021110913322249184"</f>
        <v>34892021110913322249184</v>
      </c>
      <c r="B2453" s="3" t="s">
        <v>428</v>
      </c>
      <c r="C2453" s="3" t="str">
        <f>"刘思"</f>
        <v>刘思</v>
      </c>
      <c r="D2453" s="3" t="s">
        <v>2236</v>
      </c>
    </row>
    <row r="2454" spans="1:4" ht="24.75" customHeight="1">
      <c r="A2454" s="3" t="str">
        <f>"34892021110913330049186"</f>
        <v>34892021110913330049186</v>
      </c>
      <c r="B2454" s="3" t="s">
        <v>428</v>
      </c>
      <c r="C2454" s="3" t="str">
        <f>"赵梦璐"</f>
        <v>赵梦璐</v>
      </c>
      <c r="D2454" s="3" t="s">
        <v>897</v>
      </c>
    </row>
    <row r="2455" spans="1:4" ht="24.75" customHeight="1">
      <c r="A2455" s="3" t="str">
        <f>"34892021110913385649189"</f>
        <v>34892021110913385649189</v>
      </c>
      <c r="B2455" s="3" t="s">
        <v>428</v>
      </c>
      <c r="C2455" s="3" t="str">
        <f>"钟克诚"</f>
        <v>钟克诚</v>
      </c>
      <c r="D2455" s="3" t="s">
        <v>2237</v>
      </c>
    </row>
    <row r="2456" spans="1:4" ht="24.75" customHeight="1">
      <c r="A2456" s="3" t="str">
        <f>"34892021110913393149190"</f>
        <v>34892021110913393149190</v>
      </c>
      <c r="B2456" s="3" t="s">
        <v>428</v>
      </c>
      <c r="C2456" s="3" t="str">
        <f>"郭芳菊"</f>
        <v>郭芳菊</v>
      </c>
      <c r="D2456" s="3" t="s">
        <v>2238</v>
      </c>
    </row>
    <row r="2457" spans="1:4" ht="24.75" customHeight="1">
      <c r="A2457" s="3" t="str">
        <f>"34892021110913402649191"</f>
        <v>34892021110913402649191</v>
      </c>
      <c r="B2457" s="3" t="s">
        <v>428</v>
      </c>
      <c r="C2457" s="3" t="str">
        <f>"黎丽文"</f>
        <v>黎丽文</v>
      </c>
      <c r="D2457" s="3" t="s">
        <v>1703</v>
      </c>
    </row>
    <row r="2458" spans="1:4" ht="24.75" customHeight="1">
      <c r="A2458" s="3" t="str">
        <f>"34892021110913415149193"</f>
        <v>34892021110913415149193</v>
      </c>
      <c r="B2458" s="3" t="s">
        <v>428</v>
      </c>
      <c r="C2458" s="3" t="str">
        <f>"梁茜"</f>
        <v>梁茜</v>
      </c>
      <c r="D2458" s="3" t="s">
        <v>2239</v>
      </c>
    </row>
    <row r="2459" spans="1:4" ht="24.75" customHeight="1">
      <c r="A2459" s="3" t="str">
        <f>"34892021110913494049197"</f>
        <v>34892021110913494049197</v>
      </c>
      <c r="B2459" s="3" t="s">
        <v>428</v>
      </c>
      <c r="C2459" s="3" t="str">
        <f>"陈宁梅"</f>
        <v>陈宁梅</v>
      </c>
      <c r="D2459" s="3" t="s">
        <v>2240</v>
      </c>
    </row>
    <row r="2460" spans="1:4" ht="24.75" customHeight="1">
      <c r="A2460" s="3" t="str">
        <f>"34892021110914015849200"</f>
        <v>34892021110914015849200</v>
      </c>
      <c r="B2460" s="3" t="s">
        <v>428</v>
      </c>
      <c r="C2460" s="3" t="str">
        <f>"郑金金"</f>
        <v>郑金金</v>
      </c>
      <c r="D2460" s="3" t="s">
        <v>2241</v>
      </c>
    </row>
    <row r="2461" spans="1:4" ht="24.75" customHeight="1">
      <c r="A2461" s="3" t="str">
        <f>"34892021110914072149202"</f>
        <v>34892021110914072149202</v>
      </c>
      <c r="B2461" s="3" t="s">
        <v>428</v>
      </c>
      <c r="C2461" s="3" t="str">
        <f>"蔡蓝"</f>
        <v>蔡蓝</v>
      </c>
      <c r="D2461" s="3" t="s">
        <v>2242</v>
      </c>
    </row>
    <row r="2462" spans="1:4" ht="24.75" customHeight="1">
      <c r="A2462" s="3" t="str">
        <f>"34892021110914130949203"</f>
        <v>34892021110914130949203</v>
      </c>
      <c r="B2462" s="3" t="s">
        <v>428</v>
      </c>
      <c r="C2462" s="3" t="str">
        <f>"林芳"</f>
        <v>林芳</v>
      </c>
      <c r="D2462" s="3" t="s">
        <v>2243</v>
      </c>
    </row>
    <row r="2463" spans="1:4" ht="24.75" customHeight="1">
      <c r="A2463" s="3" t="str">
        <f>"34892021110914190649207"</f>
        <v>34892021110914190649207</v>
      </c>
      <c r="B2463" s="3" t="s">
        <v>428</v>
      </c>
      <c r="C2463" s="3" t="str">
        <f>"夏坤"</f>
        <v>夏坤</v>
      </c>
      <c r="D2463" s="3" t="s">
        <v>2244</v>
      </c>
    </row>
    <row r="2464" spans="1:4" ht="24.75" customHeight="1">
      <c r="A2464" s="3" t="str">
        <f>"34892021110914220949209"</f>
        <v>34892021110914220949209</v>
      </c>
      <c r="B2464" s="3" t="s">
        <v>428</v>
      </c>
      <c r="C2464" s="3" t="str">
        <f>"王丹能"</f>
        <v>王丹能</v>
      </c>
      <c r="D2464" s="3" t="s">
        <v>1982</v>
      </c>
    </row>
    <row r="2465" spans="1:4" ht="24.75" customHeight="1">
      <c r="A2465" s="3" t="str">
        <f>"34892021110914234349211"</f>
        <v>34892021110914234349211</v>
      </c>
      <c r="B2465" s="3" t="s">
        <v>428</v>
      </c>
      <c r="C2465" s="3" t="str">
        <f>"高美倩"</f>
        <v>高美倩</v>
      </c>
      <c r="D2465" s="3" t="s">
        <v>2245</v>
      </c>
    </row>
    <row r="2466" spans="1:4" ht="24.75" customHeight="1">
      <c r="A2466" s="3" t="str">
        <f>"34892021110914251149213"</f>
        <v>34892021110914251149213</v>
      </c>
      <c r="B2466" s="3" t="s">
        <v>428</v>
      </c>
      <c r="C2466" s="3" t="str">
        <f>"吴洪漫"</f>
        <v>吴洪漫</v>
      </c>
      <c r="D2466" s="3" t="s">
        <v>677</v>
      </c>
    </row>
    <row r="2467" spans="1:4" ht="24.75" customHeight="1">
      <c r="A2467" s="3" t="str">
        <f>"34892021110914271849215"</f>
        <v>34892021110914271849215</v>
      </c>
      <c r="B2467" s="3" t="s">
        <v>428</v>
      </c>
      <c r="C2467" s="3" t="str">
        <f>"邢日益"</f>
        <v>邢日益</v>
      </c>
      <c r="D2467" s="3" t="s">
        <v>2246</v>
      </c>
    </row>
    <row r="2468" spans="1:4" ht="24.75" customHeight="1">
      <c r="A2468" s="3" t="str">
        <f>"34892021110914311549217"</f>
        <v>34892021110914311549217</v>
      </c>
      <c r="B2468" s="3" t="s">
        <v>428</v>
      </c>
      <c r="C2468" s="3" t="str">
        <f>"林静"</f>
        <v>林静</v>
      </c>
      <c r="D2468" s="3" t="s">
        <v>2247</v>
      </c>
    </row>
    <row r="2469" spans="1:4" ht="24.75" customHeight="1">
      <c r="A2469" s="3" t="str">
        <f>"34892021110914325849219"</f>
        <v>34892021110914325849219</v>
      </c>
      <c r="B2469" s="3" t="s">
        <v>428</v>
      </c>
      <c r="C2469" s="3" t="str">
        <f>"唐昌霞"</f>
        <v>唐昌霞</v>
      </c>
      <c r="D2469" s="3" t="s">
        <v>2248</v>
      </c>
    </row>
    <row r="2470" spans="1:4" ht="24.75" customHeight="1">
      <c r="A2470" s="3" t="str">
        <f>"34892021110914331849220"</f>
        <v>34892021110914331849220</v>
      </c>
      <c r="B2470" s="3" t="s">
        <v>428</v>
      </c>
      <c r="C2470" s="3" t="str">
        <f>"蔡金宇"</f>
        <v>蔡金宇</v>
      </c>
      <c r="D2470" s="3" t="s">
        <v>2249</v>
      </c>
    </row>
    <row r="2471" spans="1:4" ht="24.75" customHeight="1">
      <c r="A2471" s="3" t="str">
        <f>"34892021110914394149225"</f>
        <v>34892021110914394149225</v>
      </c>
      <c r="B2471" s="3" t="s">
        <v>428</v>
      </c>
      <c r="C2471" s="3" t="str">
        <f>"符居荣"</f>
        <v>符居荣</v>
      </c>
      <c r="D2471" s="3" t="s">
        <v>2250</v>
      </c>
    </row>
    <row r="2472" spans="1:4" ht="24.75" customHeight="1">
      <c r="A2472" s="3" t="str">
        <f>"34892021110914411749227"</f>
        <v>34892021110914411749227</v>
      </c>
      <c r="B2472" s="3" t="s">
        <v>428</v>
      </c>
      <c r="C2472" s="3" t="str">
        <f>"邓聪绍"</f>
        <v>邓聪绍</v>
      </c>
      <c r="D2472" s="3" t="s">
        <v>2251</v>
      </c>
    </row>
    <row r="2473" spans="1:4" ht="24.75" customHeight="1">
      <c r="A2473" s="3" t="str">
        <f>"34892021110914414749228"</f>
        <v>34892021110914414749228</v>
      </c>
      <c r="B2473" s="3" t="s">
        <v>428</v>
      </c>
      <c r="C2473" s="3" t="str">
        <f>"伍理权"</f>
        <v>伍理权</v>
      </c>
      <c r="D2473" s="3" t="s">
        <v>2252</v>
      </c>
    </row>
    <row r="2474" spans="1:4" ht="24.75" customHeight="1">
      <c r="A2474" s="3" t="str">
        <f>"34892021110914442549229"</f>
        <v>34892021110914442549229</v>
      </c>
      <c r="B2474" s="3" t="s">
        <v>428</v>
      </c>
      <c r="C2474" s="3" t="str">
        <f>"黄彩柳"</f>
        <v>黄彩柳</v>
      </c>
      <c r="D2474" s="3" t="s">
        <v>1634</v>
      </c>
    </row>
    <row r="2475" spans="1:4" ht="24.75" customHeight="1">
      <c r="A2475" s="3" t="str">
        <f>"34892021110914513249234"</f>
        <v>34892021110914513249234</v>
      </c>
      <c r="B2475" s="3" t="s">
        <v>428</v>
      </c>
      <c r="C2475" s="3" t="str">
        <f>"符楷"</f>
        <v>符楷</v>
      </c>
      <c r="D2475" s="3" t="s">
        <v>2253</v>
      </c>
    </row>
    <row r="2476" spans="1:4" ht="24.75" customHeight="1">
      <c r="A2476" s="3" t="str">
        <f>"34892021110914532049236"</f>
        <v>34892021110914532049236</v>
      </c>
      <c r="B2476" s="3" t="s">
        <v>428</v>
      </c>
      <c r="C2476" s="3" t="str">
        <f>"陈锦霜"</f>
        <v>陈锦霜</v>
      </c>
      <c r="D2476" s="3" t="s">
        <v>2254</v>
      </c>
    </row>
    <row r="2477" spans="1:4" ht="24.75" customHeight="1">
      <c r="A2477" s="3" t="str">
        <f>"34892021110914534849237"</f>
        <v>34892021110914534849237</v>
      </c>
      <c r="B2477" s="3" t="s">
        <v>428</v>
      </c>
      <c r="C2477" s="3" t="str">
        <f>"杜尚汝"</f>
        <v>杜尚汝</v>
      </c>
      <c r="D2477" s="3" t="s">
        <v>2255</v>
      </c>
    </row>
    <row r="2478" spans="1:4" ht="24.75" customHeight="1">
      <c r="A2478" s="3" t="str">
        <f>"34892021110914554649238"</f>
        <v>34892021110914554649238</v>
      </c>
      <c r="B2478" s="3" t="s">
        <v>428</v>
      </c>
      <c r="C2478" s="3" t="str">
        <f>"钟海连"</f>
        <v>钟海连</v>
      </c>
      <c r="D2478" s="3" t="s">
        <v>2256</v>
      </c>
    </row>
    <row r="2479" spans="1:4" ht="24.75" customHeight="1">
      <c r="A2479" s="3" t="str">
        <f>"34892021110914570049240"</f>
        <v>34892021110914570049240</v>
      </c>
      <c r="B2479" s="3" t="s">
        <v>428</v>
      </c>
      <c r="C2479" s="3" t="str">
        <f>"杨蕊"</f>
        <v>杨蕊</v>
      </c>
      <c r="D2479" s="3" t="s">
        <v>2257</v>
      </c>
    </row>
    <row r="2480" spans="1:4" ht="24.75" customHeight="1">
      <c r="A2480" s="3" t="str">
        <f>"34892021110914590949245"</f>
        <v>34892021110914590949245</v>
      </c>
      <c r="B2480" s="3" t="s">
        <v>428</v>
      </c>
      <c r="C2480" s="3" t="str">
        <f>"黎发茂"</f>
        <v>黎发茂</v>
      </c>
      <c r="D2480" s="3" t="s">
        <v>2258</v>
      </c>
    </row>
    <row r="2481" spans="1:4" ht="24.75" customHeight="1">
      <c r="A2481" s="3" t="str">
        <f>"34892021110915004649246"</f>
        <v>34892021110915004649246</v>
      </c>
      <c r="B2481" s="3" t="s">
        <v>428</v>
      </c>
      <c r="C2481" s="3" t="str">
        <f>"曾文博"</f>
        <v>曾文博</v>
      </c>
      <c r="D2481" s="3" t="s">
        <v>2207</v>
      </c>
    </row>
    <row r="2482" spans="1:4" ht="24.75" customHeight="1">
      <c r="A2482" s="3" t="str">
        <f>"34892021110915004649247"</f>
        <v>34892021110915004649247</v>
      </c>
      <c r="B2482" s="3" t="s">
        <v>428</v>
      </c>
      <c r="C2482" s="3" t="str">
        <f>"唐土爱"</f>
        <v>唐土爱</v>
      </c>
      <c r="D2482" s="3" t="s">
        <v>2259</v>
      </c>
    </row>
    <row r="2483" spans="1:4" ht="24.75" customHeight="1">
      <c r="A2483" s="3" t="str">
        <f>"34892021110915023749250"</f>
        <v>34892021110915023749250</v>
      </c>
      <c r="B2483" s="3" t="s">
        <v>428</v>
      </c>
      <c r="C2483" s="3" t="str">
        <f>"李达洪"</f>
        <v>李达洪</v>
      </c>
      <c r="D2483" s="3" t="s">
        <v>1408</v>
      </c>
    </row>
    <row r="2484" spans="1:4" ht="24.75" customHeight="1">
      <c r="A2484" s="3" t="str">
        <f>"34892021110915035649253"</f>
        <v>34892021110915035649253</v>
      </c>
      <c r="B2484" s="3" t="s">
        <v>428</v>
      </c>
      <c r="C2484" s="3" t="str">
        <f>"李娜"</f>
        <v>李娜</v>
      </c>
      <c r="D2484" s="3" t="s">
        <v>954</v>
      </c>
    </row>
    <row r="2485" spans="1:4" ht="24.75" customHeight="1">
      <c r="A2485" s="3" t="str">
        <f>"34892021110915064849255"</f>
        <v>34892021110915064849255</v>
      </c>
      <c r="B2485" s="3" t="s">
        <v>428</v>
      </c>
      <c r="C2485" s="3" t="str">
        <f>"温乐珍"</f>
        <v>温乐珍</v>
      </c>
      <c r="D2485" s="3" t="s">
        <v>2260</v>
      </c>
    </row>
    <row r="2486" spans="1:4" ht="24.75" customHeight="1">
      <c r="A2486" s="3" t="str">
        <f>"34892021110915104649259"</f>
        <v>34892021110915104649259</v>
      </c>
      <c r="B2486" s="3" t="s">
        <v>428</v>
      </c>
      <c r="C2486" s="3" t="str">
        <f>"王学晨"</f>
        <v>王学晨</v>
      </c>
      <c r="D2486" s="3" t="s">
        <v>2261</v>
      </c>
    </row>
    <row r="2487" spans="1:4" ht="24.75" customHeight="1">
      <c r="A2487" s="3" t="str">
        <f>"34892021110915125049260"</f>
        <v>34892021110915125049260</v>
      </c>
      <c r="B2487" s="3" t="s">
        <v>428</v>
      </c>
      <c r="C2487" s="3" t="str">
        <f>"周秋杨"</f>
        <v>周秋杨</v>
      </c>
      <c r="D2487" s="3" t="s">
        <v>1336</v>
      </c>
    </row>
    <row r="2488" spans="1:4" ht="24.75" customHeight="1">
      <c r="A2488" s="3" t="str">
        <f>"34892021110915141649263"</f>
        <v>34892021110915141649263</v>
      </c>
      <c r="B2488" s="3" t="s">
        <v>428</v>
      </c>
      <c r="C2488" s="3" t="str">
        <f>"吕秋亮"</f>
        <v>吕秋亮</v>
      </c>
      <c r="D2488" s="3" t="s">
        <v>2262</v>
      </c>
    </row>
    <row r="2489" spans="1:4" ht="24.75" customHeight="1">
      <c r="A2489" s="3" t="str">
        <f>"34892021110915145249265"</f>
        <v>34892021110915145249265</v>
      </c>
      <c r="B2489" s="3" t="s">
        <v>428</v>
      </c>
      <c r="C2489" s="3" t="str">
        <f>"林文坛"</f>
        <v>林文坛</v>
      </c>
      <c r="D2489" s="3" t="s">
        <v>2263</v>
      </c>
    </row>
    <row r="2490" spans="1:4" ht="24.75" customHeight="1">
      <c r="A2490" s="3" t="str">
        <f>"34892021110915152149266"</f>
        <v>34892021110915152149266</v>
      </c>
      <c r="B2490" s="3" t="s">
        <v>428</v>
      </c>
      <c r="C2490" s="3" t="str">
        <f>"吴爱丽"</f>
        <v>吴爱丽</v>
      </c>
      <c r="D2490" s="3" t="s">
        <v>2264</v>
      </c>
    </row>
    <row r="2491" spans="1:4" ht="24.75" customHeight="1">
      <c r="A2491" s="3" t="str">
        <f>"34892021110915163849267"</f>
        <v>34892021110915163849267</v>
      </c>
      <c r="B2491" s="3" t="s">
        <v>428</v>
      </c>
      <c r="C2491" s="3" t="str">
        <f>"常青"</f>
        <v>常青</v>
      </c>
      <c r="D2491" s="3" t="s">
        <v>2265</v>
      </c>
    </row>
    <row r="2492" spans="1:4" ht="24.75" customHeight="1">
      <c r="A2492" s="3" t="str">
        <f>"34892021110915171949270"</f>
        <v>34892021110915171949270</v>
      </c>
      <c r="B2492" s="3" t="s">
        <v>428</v>
      </c>
      <c r="C2492" s="3" t="str">
        <f>"李少萍"</f>
        <v>李少萍</v>
      </c>
      <c r="D2492" s="3" t="s">
        <v>2266</v>
      </c>
    </row>
    <row r="2493" spans="1:4" ht="24.75" customHeight="1">
      <c r="A2493" s="3" t="str">
        <f>"34892021110915190249275"</f>
        <v>34892021110915190249275</v>
      </c>
      <c r="B2493" s="3" t="s">
        <v>428</v>
      </c>
      <c r="C2493" s="3" t="str">
        <f>"熊章胜"</f>
        <v>熊章胜</v>
      </c>
      <c r="D2493" s="3" t="s">
        <v>2267</v>
      </c>
    </row>
    <row r="2494" spans="1:4" ht="24.75" customHeight="1">
      <c r="A2494" s="3" t="str">
        <f>"34892021110915200549276"</f>
        <v>34892021110915200549276</v>
      </c>
      <c r="B2494" s="3" t="s">
        <v>428</v>
      </c>
      <c r="C2494" s="3" t="str">
        <f>"林明杰"</f>
        <v>林明杰</v>
      </c>
      <c r="D2494" s="3" t="s">
        <v>771</v>
      </c>
    </row>
    <row r="2495" spans="1:4" ht="24.75" customHeight="1">
      <c r="A2495" s="3" t="str">
        <f>"34892021110915215149277"</f>
        <v>34892021110915215149277</v>
      </c>
      <c r="B2495" s="3" t="s">
        <v>428</v>
      </c>
      <c r="C2495" s="3" t="str">
        <f>"吴亚强"</f>
        <v>吴亚强</v>
      </c>
      <c r="D2495" s="3" t="s">
        <v>2268</v>
      </c>
    </row>
    <row r="2496" spans="1:4" ht="24.75" customHeight="1">
      <c r="A2496" s="3" t="str">
        <f>"34892021110915225349279"</f>
        <v>34892021110915225349279</v>
      </c>
      <c r="B2496" s="3" t="s">
        <v>428</v>
      </c>
      <c r="C2496" s="3" t="str">
        <f>"王小清"</f>
        <v>王小清</v>
      </c>
      <c r="D2496" s="3" t="s">
        <v>2269</v>
      </c>
    </row>
    <row r="2497" spans="1:4" ht="24.75" customHeight="1">
      <c r="A2497" s="3" t="str">
        <f>"34892021110915232049281"</f>
        <v>34892021110915232049281</v>
      </c>
      <c r="B2497" s="3" t="s">
        <v>428</v>
      </c>
      <c r="C2497" s="3" t="str">
        <f>"黄辅委"</f>
        <v>黄辅委</v>
      </c>
      <c r="D2497" s="3" t="s">
        <v>2270</v>
      </c>
    </row>
    <row r="2498" spans="1:4" ht="24.75" customHeight="1">
      <c r="A2498" s="3" t="str">
        <f>"34892021110915292549286"</f>
        <v>34892021110915292549286</v>
      </c>
      <c r="B2498" s="3" t="s">
        <v>428</v>
      </c>
      <c r="C2498" s="3" t="str">
        <f>"赵俊杰"</f>
        <v>赵俊杰</v>
      </c>
      <c r="D2498" s="3" t="s">
        <v>2271</v>
      </c>
    </row>
    <row r="2499" spans="1:4" ht="24.75" customHeight="1">
      <c r="A2499" s="3" t="str">
        <f>"34892021110915292549287"</f>
        <v>34892021110915292549287</v>
      </c>
      <c r="B2499" s="3" t="s">
        <v>428</v>
      </c>
      <c r="C2499" s="3" t="str">
        <f>"陆小冰"</f>
        <v>陆小冰</v>
      </c>
      <c r="D2499" s="3" t="s">
        <v>2272</v>
      </c>
    </row>
    <row r="2500" spans="1:4" ht="24.75" customHeight="1">
      <c r="A2500" s="3" t="str">
        <f>"34892021110915304549291"</f>
        <v>34892021110915304549291</v>
      </c>
      <c r="B2500" s="3" t="s">
        <v>428</v>
      </c>
      <c r="C2500" s="3" t="str">
        <f>"冯沐颖"</f>
        <v>冯沐颖</v>
      </c>
      <c r="D2500" s="3" t="s">
        <v>2273</v>
      </c>
    </row>
    <row r="2501" spans="1:4" ht="24.75" customHeight="1">
      <c r="A2501" s="3" t="str">
        <f>"34892021110915311749293"</f>
        <v>34892021110915311749293</v>
      </c>
      <c r="B2501" s="3" t="s">
        <v>428</v>
      </c>
      <c r="C2501" s="3" t="str">
        <f>"弋成红"</f>
        <v>弋成红</v>
      </c>
      <c r="D2501" s="3" t="s">
        <v>2274</v>
      </c>
    </row>
    <row r="2502" spans="1:4" ht="24.75" customHeight="1">
      <c r="A2502" s="3" t="str">
        <f>"34892021110915381749302"</f>
        <v>34892021110915381749302</v>
      </c>
      <c r="B2502" s="3" t="s">
        <v>428</v>
      </c>
      <c r="C2502" s="3" t="str">
        <f>"陈晓星"</f>
        <v>陈晓星</v>
      </c>
      <c r="D2502" s="3" t="s">
        <v>2275</v>
      </c>
    </row>
    <row r="2503" spans="1:4" ht="24.75" customHeight="1">
      <c r="A2503" s="3" t="str">
        <f>"34892021110915420549304"</f>
        <v>34892021110915420549304</v>
      </c>
      <c r="B2503" s="3" t="s">
        <v>428</v>
      </c>
      <c r="C2503" s="3" t="str">
        <f>"陈亮"</f>
        <v>陈亮</v>
      </c>
      <c r="D2503" s="3" t="s">
        <v>2276</v>
      </c>
    </row>
    <row r="2504" spans="1:4" ht="24.75" customHeight="1">
      <c r="A2504" s="3" t="str">
        <f>"34892021110915423149307"</f>
        <v>34892021110915423149307</v>
      </c>
      <c r="B2504" s="3" t="s">
        <v>428</v>
      </c>
      <c r="C2504" s="3" t="str">
        <f>"林苗苗"</f>
        <v>林苗苗</v>
      </c>
      <c r="D2504" s="3" t="s">
        <v>2277</v>
      </c>
    </row>
    <row r="2505" spans="1:4" ht="24.75" customHeight="1">
      <c r="A2505" s="3" t="str">
        <f>"34892021110915463049314"</f>
        <v>34892021110915463049314</v>
      </c>
      <c r="B2505" s="3" t="s">
        <v>428</v>
      </c>
      <c r="C2505" s="3" t="str">
        <f>"陈宇欣"</f>
        <v>陈宇欣</v>
      </c>
      <c r="D2505" s="3" t="s">
        <v>2278</v>
      </c>
    </row>
    <row r="2506" spans="1:4" ht="24.75" customHeight="1">
      <c r="A2506" s="3" t="str">
        <f>"34892021110915464349315"</f>
        <v>34892021110915464349315</v>
      </c>
      <c r="B2506" s="3" t="s">
        <v>428</v>
      </c>
      <c r="C2506" s="3" t="str">
        <f>"周美慧"</f>
        <v>周美慧</v>
      </c>
      <c r="D2506" s="3" t="s">
        <v>2279</v>
      </c>
    </row>
    <row r="2507" spans="1:4" ht="24.75" customHeight="1">
      <c r="A2507" s="3" t="str">
        <f>"34892021110915493849321"</f>
        <v>34892021110915493849321</v>
      </c>
      <c r="B2507" s="3" t="s">
        <v>428</v>
      </c>
      <c r="C2507" s="3" t="str">
        <f>"王明婷"</f>
        <v>王明婷</v>
      </c>
      <c r="D2507" s="3" t="s">
        <v>2280</v>
      </c>
    </row>
    <row r="2508" spans="1:4" ht="24.75" customHeight="1">
      <c r="A2508" s="3" t="str">
        <f>"34892021110915502349322"</f>
        <v>34892021110915502349322</v>
      </c>
      <c r="B2508" s="3" t="s">
        <v>428</v>
      </c>
      <c r="C2508" s="3" t="str">
        <f>"云雨捷"</f>
        <v>云雨捷</v>
      </c>
      <c r="D2508" s="3" t="s">
        <v>2281</v>
      </c>
    </row>
    <row r="2509" spans="1:4" ht="24.75" customHeight="1">
      <c r="A2509" s="3" t="str">
        <f>"34892021110915532249327"</f>
        <v>34892021110915532249327</v>
      </c>
      <c r="B2509" s="3" t="s">
        <v>428</v>
      </c>
      <c r="C2509" s="3" t="str">
        <f>"万文君"</f>
        <v>万文君</v>
      </c>
      <c r="D2509" s="3" t="s">
        <v>2282</v>
      </c>
    </row>
    <row r="2510" spans="1:4" ht="24.75" customHeight="1">
      <c r="A2510" s="3" t="str">
        <f>"34892021110915562649330"</f>
        <v>34892021110915562649330</v>
      </c>
      <c r="B2510" s="3" t="s">
        <v>428</v>
      </c>
      <c r="C2510" s="3" t="str">
        <f>"雷雅媛"</f>
        <v>雷雅媛</v>
      </c>
      <c r="D2510" s="3" t="s">
        <v>2283</v>
      </c>
    </row>
    <row r="2511" spans="1:4" ht="24.75" customHeight="1">
      <c r="A2511" s="3" t="str">
        <f>"34892021110916015749334"</f>
        <v>34892021110916015749334</v>
      </c>
      <c r="B2511" s="3" t="s">
        <v>428</v>
      </c>
      <c r="C2511" s="3" t="str">
        <f>"林成花"</f>
        <v>林成花</v>
      </c>
      <c r="D2511" s="3" t="s">
        <v>502</v>
      </c>
    </row>
    <row r="2512" spans="1:4" ht="24.75" customHeight="1">
      <c r="A2512" s="3" t="str">
        <f>"34892021110916023949337"</f>
        <v>34892021110916023949337</v>
      </c>
      <c r="B2512" s="3" t="s">
        <v>428</v>
      </c>
      <c r="C2512" s="3" t="str">
        <f>"殷繁琳"</f>
        <v>殷繁琳</v>
      </c>
      <c r="D2512" s="3" t="s">
        <v>2284</v>
      </c>
    </row>
    <row r="2513" spans="1:4" ht="24.75" customHeight="1">
      <c r="A2513" s="3" t="str">
        <f>"34892021110916052249341"</f>
        <v>34892021110916052249341</v>
      </c>
      <c r="B2513" s="3" t="s">
        <v>428</v>
      </c>
      <c r="C2513" s="3" t="str">
        <f>"林彩虹"</f>
        <v>林彩虹</v>
      </c>
      <c r="D2513" s="3" t="s">
        <v>2285</v>
      </c>
    </row>
    <row r="2514" spans="1:4" ht="24.75" customHeight="1">
      <c r="A2514" s="3" t="str">
        <f>"34892021110916090749348"</f>
        <v>34892021110916090749348</v>
      </c>
      <c r="B2514" s="3" t="s">
        <v>428</v>
      </c>
      <c r="C2514" s="3" t="str">
        <f>"吴小叶"</f>
        <v>吴小叶</v>
      </c>
      <c r="D2514" s="3" t="s">
        <v>2286</v>
      </c>
    </row>
    <row r="2515" spans="1:4" ht="24.75" customHeight="1">
      <c r="A2515" s="3" t="str">
        <f>"34892021110916113849355"</f>
        <v>34892021110916113849355</v>
      </c>
      <c r="B2515" s="3" t="s">
        <v>428</v>
      </c>
      <c r="C2515" s="3" t="str">
        <f>"苏定胶"</f>
        <v>苏定胶</v>
      </c>
      <c r="D2515" s="3" t="s">
        <v>2287</v>
      </c>
    </row>
    <row r="2516" spans="1:4" ht="24.75" customHeight="1">
      <c r="A2516" s="3" t="str">
        <f>"34892021110916143849361"</f>
        <v>34892021110916143849361</v>
      </c>
      <c r="B2516" s="3" t="s">
        <v>428</v>
      </c>
      <c r="C2516" s="3" t="str">
        <f>"王珍"</f>
        <v>王珍</v>
      </c>
      <c r="D2516" s="3" t="s">
        <v>2288</v>
      </c>
    </row>
    <row r="2517" spans="1:4" ht="24.75" customHeight="1">
      <c r="A2517" s="3" t="str">
        <f>"34892021110916172249364"</f>
        <v>34892021110916172249364</v>
      </c>
      <c r="B2517" s="3" t="s">
        <v>428</v>
      </c>
      <c r="C2517" s="3" t="str">
        <f>"赵苏芳"</f>
        <v>赵苏芳</v>
      </c>
      <c r="D2517" s="3" t="s">
        <v>2289</v>
      </c>
    </row>
    <row r="2518" spans="1:4" ht="24.75" customHeight="1">
      <c r="A2518" s="3" t="str">
        <f>"34892021110916185049366"</f>
        <v>34892021110916185049366</v>
      </c>
      <c r="B2518" s="3" t="s">
        <v>428</v>
      </c>
      <c r="C2518" s="3" t="str">
        <f>"吴雪花"</f>
        <v>吴雪花</v>
      </c>
      <c r="D2518" s="3" t="s">
        <v>2290</v>
      </c>
    </row>
    <row r="2519" spans="1:4" ht="24.75" customHeight="1">
      <c r="A2519" s="3" t="str">
        <f>"34892021110916200749368"</f>
        <v>34892021110916200749368</v>
      </c>
      <c r="B2519" s="3" t="s">
        <v>428</v>
      </c>
      <c r="C2519" s="3" t="str">
        <f>"李梦达"</f>
        <v>李梦达</v>
      </c>
      <c r="D2519" s="3" t="s">
        <v>2291</v>
      </c>
    </row>
    <row r="2520" spans="1:4" ht="24.75" customHeight="1">
      <c r="A2520" s="3" t="str">
        <f>"34892021110916215049371"</f>
        <v>34892021110916215049371</v>
      </c>
      <c r="B2520" s="3" t="s">
        <v>428</v>
      </c>
      <c r="C2520" s="3" t="str">
        <f>"焦建霞"</f>
        <v>焦建霞</v>
      </c>
      <c r="D2520" s="3" t="s">
        <v>2292</v>
      </c>
    </row>
    <row r="2521" spans="1:4" ht="24.75" customHeight="1">
      <c r="A2521" s="3" t="str">
        <f>"34892021110916234049372"</f>
        <v>34892021110916234049372</v>
      </c>
      <c r="B2521" s="3" t="s">
        <v>428</v>
      </c>
      <c r="C2521" s="3" t="str">
        <f>"周洪娇"</f>
        <v>周洪娇</v>
      </c>
      <c r="D2521" s="3" t="s">
        <v>2293</v>
      </c>
    </row>
    <row r="2522" spans="1:4" ht="24.75" customHeight="1">
      <c r="A2522" s="3" t="str">
        <f>"34892021110916243949374"</f>
        <v>34892021110916243949374</v>
      </c>
      <c r="B2522" s="3" t="s">
        <v>428</v>
      </c>
      <c r="C2522" s="3" t="str">
        <f>"羊有玉"</f>
        <v>羊有玉</v>
      </c>
      <c r="D2522" s="3" t="s">
        <v>2294</v>
      </c>
    </row>
    <row r="2523" spans="1:4" ht="24.75" customHeight="1">
      <c r="A2523" s="3" t="str">
        <f>"34892021110916472149397"</f>
        <v>34892021110916472149397</v>
      </c>
      <c r="B2523" s="3" t="s">
        <v>428</v>
      </c>
      <c r="C2523" s="3" t="str">
        <f>"姜世杰"</f>
        <v>姜世杰</v>
      </c>
      <c r="D2523" s="3" t="s">
        <v>2295</v>
      </c>
    </row>
    <row r="2524" spans="1:4" ht="24.75" customHeight="1">
      <c r="A2524" s="3" t="str">
        <f>"34892021110916510049400"</f>
        <v>34892021110916510049400</v>
      </c>
      <c r="B2524" s="3" t="s">
        <v>428</v>
      </c>
      <c r="C2524" s="3" t="str">
        <f>"郑学兰"</f>
        <v>郑学兰</v>
      </c>
      <c r="D2524" s="3" t="s">
        <v>2296</v>
      </c>
    </row>
    <row r="2525" spans="1:4" ht="24.75" customHeight="1">
      <c r="A2525" s="3" t="str">
        <f>"34892021110309070637530"</f>
        <v>34892021110309070637530</v>
      </c>
      <c r="B2525" s="3" t="s">
        <v>2297</v>
      </c>
      <c r="C2525" s="3" t="str">
        <f>"历宪龙"</f>
        <v>历宪龙</v>
      </c>
      <c r="D2525" s="3" t="s">
        <v>2298</v>
      </c>
    </row>
    <row r="2526" spans="1:4" ht="24.75" customHeight="1">
      <c r="A2526" s="3" t="str">
        <f>"34892021110309294737756"</f>
        <v>34892021110309294737756</v>
      </c>
      <c r="B2526" s="3" t="s">
        <v>2297</v>
      </c>
      <c r="C2526" s="3" t="str">
        <f>"符致慧"</f>
        <v>符致慧</v>
      </c>
      <c r="D2526" s="3" t="s">
        <v>2299</v>
      </c>
    </row>
    <row r="2527" spans="1:4" ht="24.75" customHeight="1">
      <c r="A2527" s="3" t="str">
        <f>"34892021110309303837764"</f>
        <v>34892021110309303837764</v>
      </c>
      <c r="B2527" s="3" t="s">
        <v>2297</v>
      </c>
      <c r="C2527" s="3" t="str">
        <f>"张熙松"</f>
        <v>张熙松</v>
      </c>
      <c r="D2527" s="3" t="s">
        <v>2300</v>
      </c>
    </row>
    <row r="2528" spans="1:4" ht="24.75" customHeight="1">
      <c r="A2528" s="3" t="str">
        <f>"34892021110309490437930"</f>
        <v>34892021110309490437930</v>
      </c>
      <c r="B2528" s="3" t="s">
        <v>2297</v>
      </c>
      <c r="C2528" s="3" t="str">
        <f>"符杰"</f>
        <v>符杰</v>
      </c>
      <c r="D2528" s="3" t="s">
        <v>2301</v>
      </c>
    </row>
    <row r="2529" spans="1:4" ht="24.75" customHeight="1">
      <c r="A2529" s="3" t="str">
        <f>"34892021110309563538001"</f>
        <v>34892021110309563538001</v>
      </c>
      <c r="B2529" s="3" t="s">
        <v>2297</v>
      </c>
      <c r="C2529" s="3" t="str">
        <f>"黄宝姣"</f>
        <v>黄宝姣</v>
      </c>
      <c r="D2529" s="3" t="s">
        <v>2302</v>
      </c>
    </row>
    <row r="2530" spans="1:4" ht="24.75" customHeight="1">
      <c r="A2530" s="3" t="str">
        <f>"34892021110309582438017"</f>
        <v>34892021110309582438017</v>
      </c>
      <c r="B2530" s="3" t="s">
        <v>2297</v>
      </c>
      <c r="C2530" s="3" t="str">
        <f>"邢增圣"</f>
        <v>邢增圣</v>
      </c>
      <c r="D2530" s="3" t="s">
        <v>865</v>
      </c>
    </row>
    <row r="2531" spans="1:4" ht="24.75" customHeight="1">
      <c r="A2531" s="3" t="str">
        <f>"34892021110310270838299"</f>
        <v>34892021110310270838299</v>
      </c>
      <c r="B2531" s="3" t="s">
        <v>2297</v>
      </c>
      <c r="C2531" s="3" t="str">
        <f>"陈娜"</f>
        <v>陈娜</v>
      </c>
      <c r="D2531" s="3" t="s">
        <v>1775</v>
      </c>
    </row>
    <row r="2532" spans="1:4" ht="24.75" customHeight="1">
      <c r="A2532" s="3" t="str">
        <f>"34892021110310290738318"</f>
        <v>34892021110310290738318</v>
      </c>
      <c r="B2532" s="3" t="s">
        <v>2297</v>
      </c>
      <c r="C2532" s="3" t="str">
        <f>"周德建"</f>
        <v>周德建</v>
      </c>
      <c r="D2532" s="3" t="s">
        <v>2303</v>
      </c>
    </row>
    <row r="2533" spans="1:4" ht="24.75" customHeight="1">
      <c r="A2533" s="3" t="str">
        <f>"34892021110310422238432"</f>
        <v>34892021110310422238432</v>
      </c>
      <c r="B2533" s="3" t="s">
        <v>2297</v>
      </c>
      <c r="C2533" s="3" t="str">
        <f>"黄汝婷"</f>
        <v>黄汝婷</v>
      </c>
      <c r="D2533" s="3" t="s">
        <v>2304</v>
      </c>
    </row>
    <row r="2534" spans="1:4" ht="24.75" customHeight="1">
      <c r="A2534" s="3" t="str">
        <f>"34892021110310444738458"</f>
        <v>34892021110310444738458</v>
      </c>
      <c r="B2534" s="3" t="s">
        <v>2297</v>
      </c>
      <c r="C2534" s="3" t="str">
        <f>"陈教诚"</f>
        <v>陈教诚</v>
      </c>
      <c r="D2534" s="3" t="s">
        <v>2305</v>
      </c>
    </row>
    <row r="2535" spans="1:4" ht="24.75" customHeight="1">
      <c r="A2535" s="3" t="str">
        <f>"34892021110310485538496"</f>
        <v>34892021110310485538496</v>
      </c>
      <c r="B2535" s="3" t="s">
        <v>2297</v>
      </c>
      <c r="C2535" s="3" t="str">
        <f>"吴美丽"</f>
        <v>吴美丽</v>
      </c>
      <c r="D2535" s="3" t="s">
        <v>1078</v>
      </c>
    </row>
    <row r="2536" spans="1:4" ht="24.75" customHeight="1">
      <c r="A2536" s="3" t="str">
        <f>"34892021110311234638761"</f>
        <v>34892021110311234638761</v>
      </c>
      <c r="B2536" s="3" t="s">
        <v>2297</v>
      </c>
      <c r="C2536" s="3" t="str">
        <f>"刘静丽"</f>
        <v>刘静丽</v>
      </c>
      <c r="D2536" s="3" t="s">
        <v>2306</v>
      </c>
    </row>
    <row r="2537" spans="1:4" ht="24.75" customHeight="1">
      <c r="A2537" s="3" t="str">
        <f>"34892021110311244838771"</f>
        <v>34892021110311244838771</v>
      </c>
      <c r="B2537" s="3" t="s">
        <v>2297</v>
      </c>
      <c r="C2537" s="3" t="str">
        <f>"孙金易"</f>
        <v>孙金易</v>
      </c>
      <c r="D2537" s="3" t="s">
        <v>2307</v>
      </c>
    </row>
    <row r="2538" spans="1:4" ht="24.75" customHeight="1">
      <c r="A2538" s="3" t="str">
        <f>"34892021110311292238800"</f>
        <v>34892021110311292238800</v>
      </c>
      <c r="B2538" s="3" t="s">
        <v>2297</v>
      </c>
      <c r="C2538" s="3" t="str">
        <f>"杨静雯"</f>
        <v>杨静雯</v>
      </c>
      <c r="D2538" s="3" t="s">
        <v>1183</v>
      </c>
    </row>
    <row r="2539" spans="1:4" ht="24.75" customHeight="1">
      <c r="A2539" s="3" t="str">
        <f>"34892021110311422838907"</f>
        <v>34892021110311422838907</v>
      </c>
      <c r="B2539" s="3" t="s">
        <v>2297</v>
      </c>
      <c r="C2539" s="3" t="str">
        <f>"陈清文"</f>
        <v>陈清文</v>
      </c>
      <c r="D2539" s="3" t="s">
        <v>2308</v>
      </c>
    </row>
    <row r="2540" spans="1:4" ht="24.75" customHeight="1">
      <c r="A2540" s="3" t="str">
        <f>"34892021110312245239142"</f>
        <v>34892021110312245239142</v>
      </c>
      <c r="B2540" s="3" t="s">
        <v>2297</v>
      </c>
      <c r="C2540" s="3" t="str">
        <f>"朱万贺"</f>
        <v>朱万贺</v>
      </c>
      <c r="D2540" s="3" t="s">
        <v>2309</v>
      </c>
    </row>
    <row r="2541" spans="1:4" ht="24.75" customHeight="1">
      <c r="A2541" s="3" t="str">
        <f>"34892021110312523339326"</f>
        <v>34892021110312523339326</v>
      </c>
      <c r="B2541" s="3" t="s">
        <v>2297</v>
      </c>
      <c r="C2541" s="3" t="str">
        <f>"陈永恒"</f>
        <v>陈永恒</v>
      </c>
      <c r="D2541" s="3" t="s">
        <v>2310</v>
      </c>
    </row>
    <row r="2542" spans="1:4" ht="24.75" customHeight="1">
      <c r="A2542" s="3" t="str">
        <f>"34892021110313480239666"</f>
        <v>34892021110313480239666</v>
      </c>
      <c r="B2542" s="3" t="s">
        <v>2297</v>
      </c>
      <c r="C2542" s="3" t="str">
        <f>"钟跃明"</f>
        <v>钟跃明</v>
      </c>
      <c r="D2542" s="3" t="s">
        <v>2094</v>
      </c>
    </row>
    <row r="2543" spans="1:4" ht="24.75" customHeight="1">
      <c r="A2543" s="3" t="str">
        <f>"34892021110314094039761"</f>
        <v>34892021110314094039761</v>
      </c>
      <c r="B2543" s="3" t="s">
        <v>2297</v>
      </c>
      <c r="C2543" s="3" t="str">
        <f>"蒙柳君"</f>
        <v>蒙柳君</v>
      </c>
      <c r="D2543" s="3" t="s">
        <v>2311</v>
      </c>
    </row>
    <row r="2544" spans="1:4" ht="24.75" customHeight="1">
      <c r="A2544" s="3" t="str">
        <f>"34892021110314285839869"</f>
        <v>34892021110314285839869</v>
      </c>
      <c r="B2544" s="3" t="s">
        <v>2297</v>
      </c>
      <c r="C2544" s="3" t="str">
        <f>"罗宗巧"</f>
        <v>罗宗巧</v>
      </c>
      <c r="D2544" s="3" t="s">
        <v>2312</v>
      </c>
    </row>
    <row r="2545" spans="1:4" ht="24.75" customHeight="1">
      <c r="A2545" s="3" t="str">
        <f>"34892021110314581040098"</f>
        <v>34892021110314581040098</v>
      </c>
      <c r="B2545" s="3" t="s">
        <v>2297</v>
      </c>
      <c r="C2545" s="3" t="str">
        <f>"王国安"</f>
        <v>王国安</v>
      </c>
      <c r="D2545" s="3" t="s">
        <v>2313</v>
      </c>
    </row>
    <row r="2546" spans="1:4" ht="24.75" customHeight="1">
      <c r="A2546" s="3" t="str">
        <f>"34892021110315115740222"</f>
        <v>34892021110315115740222</v>
      </c>
      <c r="B2546" s="3" t="s">
        <v>2297</v>
      </c>
      <c r="C2546" s="3" t="str">
        <f>"吴坤峰"</f>
        <v>吴坤峰</v>
      </c>
      <c r="D2546" s="3" t="s">
        <v>474</v>
      </c>
    </row>
    <row r="2547" spans="1:4" ht="24.75" customHeight="1">
      <c r="A2547" s="3" t="str">
        <f>"34892021110315151340249"</f>
        <v>34892021110315151340249</v>
      </c>
      <c r="B2547" s="3" t="s">
        <v>2297</v>
      </c>
      <c r="C2547" s="3" t="str">
        <f>"羊维强"</f>
        <v>羊维强</v>
      </c>
      <c r="D2547" s="3" t="s">
        <v>2314</v>
      </c>
    </row>
    <row r="2548" spans="1:4" ht="24.75" customHeight="1">
      <c r="A2548" s="3" t="str">
        <f>"34892021110315180840273"</f>
        <v>34892021110315180840273</v>
      </c>
      <c r="B2548" s="3" t="s">
        <v>2297</v>
      </c>
      <c r="C2548" s="3" t="str">
        <f>"郑小蒙"</f>
        <v>郑小蒙</v>
      </c>
      <c r="D2548" s="3" t="s">
        <v>2315</v>
      </c>
    </row>
    <row r="2549" spans="1:4" ht="24.75" customHeight="1">
      <c r="A2549" s="3" t="str">
        <f>"34892021110315415440465"</f>
        <v>34892021110315415440465</v>
      </c>
      <c r="B2549" s="3" t="s">
        <v>2297</v>
      </c>
      <c r="C2549" s="3" t="str">
        <f>"羊冠三"</f>
        <v>羊冠三</v>
      </c>
      <c r="D2549" s="3" t="s">
        <v>2316</v>
      </c>
    </row>
    <row r="2550" spans="1:4" ht="24.75" customHeight="1">
      <c r="A2550" s="3" t="str">
        <f>"34892021110316012740594"</f>
        <v>34892021110316012740594</v>
      </c>
      <c r="B2550" s="3" t="s">
        <v>2297</v>
      </c>
      <c r="C2550" s="3" t="str">
        <f>"蔡於旺"</f>
        <v>蔡於旺</v>
      </c>
      <c r="D2550" s="3" t="s">
        <v>2317</v>
      </c>
    </row>
    <row r="2551" spans="1:4" ht="24.75" customHeight="1">
      <c r="A2551" s="3" t="str">
        <f>"34892021110316151340701"</f>
        <v>34892021110316151340701</v>
      </c>
      <c r="B2551" s="3" t="s">
        <v>2297</v>
      </c>
      <c r="C2551" s="3" t="str">
        <f>"林道保"</f>
        <v>林道保</v>
      </c>
      <c r="D2551" s="3" t="s">
        <v>2318</v>
      </c>
    </row>
    <row r="2552" spans="1:4" ht="24.75" customHeight="1">
      <c r="A2552" s="3" t="str">
        <f>"34892021110317002641007"</f>
        <v>34892021110317002641007</v>
      </c>
      <c r="B2552" s="3" t="s">
        <v>2297</v>
      </c>
      <c r="C2552" s="3" t="str">
        <f>"许治翔"</f>
        <v>许治翔</v>
      </c>
      <c r="D2552" s="3" t="s">
        <v>2319</v>
      </c>
    </row>
    <row r="2553" spans="1:4" ht="24.75" customHeight="1">
      <c r="A2553" s="3" t="str">
        <f>"34892021110317021541012"</f>
        <v>34892021110317021541012</v>
      </c>
      <c r="B2553" s="3" t="s">
        <v>2297</v>
      </c>
      <c r="C2553" s="3" t="str">
        <f>"李天录"</f>
        <v>李天录</v>
      </c>
      <c r="D2553" s="3" t="s">
        <v>2320</v>
      </c>
    </row>
    <row r="2554" spans="1:4" ht="24.75" customHeight="1">
      <c r="A2554" s="3" t="str">
        <f>"34892021110318384941333"</f>
        <v>34892021110318384941333</v>
      </c>
      <c r="B2554" s="3" t="s">
        <v>2297</v>
      </c>
      <c r="C2554" s="3" t="str">
        <f>"邱云妮"</f>
        <v>邱云妮</v>
      </c>
      <c r="D2554" s="3" t="s">
        <v>2321</v>
      </c>
    </row>
    <row r="2555" spans="1:4" ht="24.75" customHeight="1">
      <c r="A2555" s="3" t="str">
        <f>"34892021110319074641388"</f>
        <v>34892021110319074641388</v>
      </c>
      <c r="B2555" s="3" t="s">
        <v>2297</v>
      </c>
      <c r="C2555" s="3" t="str">
        <f>"谢耀欣"</f>
        <v>谢耀欣</v>
      </c>
      <c r="D2555" s="3" t="s">
        <v>2322</v>
      </c>
    </row>
    <row r="2556" spans="1:4" ht="24.75" customHeight="1">
      <c r="A2556" s="3" t="str">
        <f>"34892021110320414141650"</f>
        <v>34892021110320414141650</v>
      </c>
      <c r="B2556" s="3" t="s">
        <v>2297</v>
      </c>
      <c r="C2556" s="3" t="str">
        <f>"林小格"</f>
        <v>林小格</v>
      </c>
      <c r="D2556" s="3" t="s">
        <v>1578</v>
      </c>
    </row>
    <row r="2557" spans="1:4" ht="24.75" customHeight="1">
      <c r="A2557" s="3" t="str">
        <f>"34892021110321102041748"</f>
        <v>34892021110321102041748</v>
      </c>
      <c r="B2557" s="3" t="s">
        <v>2297</v>
      </c>
      <c r="C2557" s="3" t="str">
        <f>"容福泰"</f>
        <v>容福泰</v>
      </c>
      <c r="D2557" s="3" t="s">
        <v>2323</v>
      </c>
    </row>
    <row r="2558" spans="1:4" ht="24.75" customHeight="1">
      <c r="A2558" s="3" t="str">
        <f>"34892021110321383441830"</f>
        <v>34892021110321383441830</v>
      </c>
      <c r="B2558" s="3" t="s">
        <v>2297</v>
      </c>
      <c r="C2558" s="3" t="str">
        <f>"王赞章"</f>
        <v>王赞章</v>
      </c>
      <c r="D2558" s="3" t="s">
        <v>2324</v>
      </c>
    </row>
    <row r="2559" spans="1:4" ht="24.75" customHeight="1">
      <c r="A2559" s="3" t="str">
        <f>"34892021110321573241891"</f>
        <v>34892021110321573241891</v>
      </c>
      <c r="B2559" s="3" t="s">
        <v>2297</v>
      </c>
      <c r="C2559" s="3" t="str">
        <f>"李玉冰"</f>
        <v>李玉冰</v>
      </c>
      <c r="D2559" s="3" t="s">
        <v>2325</v>
      </c>
    </row>
    <row r="2560" spans="1:4" ht="24.75" customHeight="1">
      <c r="A2560" s="3" t="str">
        <f>"34892021110400011942168"</f>
        <v>34892021110400011942168</v>
      </c>
      <c r="B2560" s="3" t="s">
        <v>2297</v>
      </c>
      <c r="C2560" s="3" t="str">
        <f>"周亚婷"</f>
        <v>周亚婷</v>
      </c>
      <c r="D2560" s="3" t="s">
        <v>2326</v>
      </c>
    </row>
    <row r="2561" spans="1:4" ht="24.75" customHeight="1">
      <c r="A2561" s="3" t="str">
        <f>"34892021110400263842186"</f>
        <v>34892021110400263842186</v>
      </c>
      <c r="B2561" s="3" t="s">
        <v>2297</v>
      </c>
      <c r="C2561" s="3" t="str">
        <f>"王金如"</f>
        <v>王金如</v>
      </c>
      <c r="D2561" s="3" t="s">
        <v>2293</v>
      </c>
    </row>
    <row r="2562" spans="1:4" ht="24.75" customHeight="1">
      <c r="A2562" s="3" t="str">
        <f>"34892021110408520542346"</f>
        <v>34892021110408520542346</v>
      </c>
      <c r="B2562" s="3" t="s">
        <v>2297</v>
      </c>
      <c r="C2562" s="3" t="str">
        <f>"邢孔佼"</f>
        <v>邢孔佼</v>
      </c>
      <c r="D2562" s="3" t="s">
        <v>2327</v>
      </c>
    </row>
    <row r="2563" spans="1:4" ht="24.75" customHeight="1">
      <c r="A2563" s="3" t="str">
        <f>"34892021110408572242361"</f>
        <v>34892021110408572242361</v>
      </c>
      <c r="B2563" s="3" t="s">
        <v>2297</v>
      </c>
      <c r="C2563" s="3" t="str">
        <f>"董壮娟"</f>
        <v>董壮娟</v>
      </c>
      <c r="D2563" s="3" t="s">
        <v>2328</v>
      </c>
    </row>
    <row r="2564" spans="1:4" ht="24.75" customHeight="1">
      <c r="A2564" s="3" t="str">
        <f>"34892021110410371442680"</f>
        <v>34892021110410371442680</v>
      </c>
      <c r="B2564" s="3" t="s">
        <v>2297</v>
      </c>
      <c r="C2564" s="3" t="str">
        <f>"王美女"</f>
        <v>王美女</v>
      </c>
      <c r="D2564" s="3" t="s">
        <v>2329</v>
      </c>
    </row>
    <row r="2565" spans="1:4" ht="24.75" customHeight="1">
      <c r="A2565" s="3" t="str">
        <f>"34892021110413020043045"</f>
        <v>34892021110413020043045</v>
      </c>
      <c r="B2565" s="3" t="s">
        <v>2297</v>
      </c>
      <c r="C2565" s="3" t="str">
        <f>"梁浩"</f>
        <v>梁浩</v>
      </c>
      <c r="D2565" s="3" t="s">
        <v>2330</v>
      </c>
    </row>
    <row r="2566" spans="1:4" ht="24.75" customHeight="1">
      <c r="A2566" s="3" t="str">
        <f>"34892021110413183743074"</f>
        <v>34892021110413183743074</v>
      </c>
      <c r="B2566" s="3" t="s">
        <v>2297</v>
      </c>
      <c r="C2566" s="3" t="str">
        <f>"邢增东"</f>
        <v>邢增东</v>
      </c>
      <c r="D2566" s="3" t="s">
        <v>1312</v>
      </c>
    </row>
    <row r="2567" spans="1:4" ht="24.75" customHeight="1">
      <c r="A2567" s="3" t="str">
        <f>"34892021110414364543199"</f>
        <v>34892021110414364543199</v>
      </c>
      <c r="B2567" s="3" t="s">
        <v>2297</v>
      </c>
      <c r="C2567" s="3" t="str">
        <f>"林美燕"</f>
        <v>林美燕</v>
      </c>
      <c r="D2567" s="3" t="s">
        <v>2331</v>
      </c>
    </row>
    <row r="2568" spans="1:4" ht="24.75" customHeight="1">
      <c r="A2568" s="3" t="str">
        <f>"34892021110415054243267"</f>
        <v>34892021110415054243267</v>
      </c>
      <c r="B2568" s="3" t="s">
        <v>2297</v>
      </c>
      <c r="C2568" s="3" t="str">
        <f>"李永达"</f>
        <v>李永达</v>
      </c>
      <c r="D2568" s="3" t="s">
        <v>2332</v>
      </c>
    </row>
    <row r="2569" spans="1:4" ht="24.75" customHeight="1">
      <c r="A2569" s="3" t="str">
        <f>"34892021110415352543357"</f>
        <v>34892021110415352543357</v>
      </c>
      <c r="B2569" s="3" t="s">
        <v>2297</v>
      </c>
      <c r="C2569" s="3" t="str">
        <f>"朱林林"</f>
        <v>朱林林</v>
      </c>
      <c r="D2569" s="3" t="s">
        <v>2333</v>
      </c>
    </row>
    <row r="2570" spans="1:4" ht="24.75" customHeight="1">
      <c r="A2570" s="3" t="str">
        <f>"34892021110417513543686"</f>
        <v>34892021110417513543686</v>
      </c>
      <c r="B2570" s="3" t="s">
        <v>2297</v>
      </c>
      <c r="C2570" s="3" t="str">
        <f>"曾春珠"</f>
        <v>曾春珠</v>
      </c>
      <c r="D2570" s="3" t="s">
        <v>2334</v>
      </c>
    </row>
    <row r="2571" spans="1:4" ht="24.75" customHeight="1">
      <c r="A2571" s="3" t="str">
        <f>"34892021110418471443781"</f>
        <v>34892021110418471443781</v>
      </c>
      <c r="B2571" s="3" t="s">
        <v>2297</v>
      </c>
      <c r="C2571" s="3" t="str">
        <f>"陈星先"</f>
        <v>陈星先</v>
      </c>
      <c r="D2571" s="3" t="s">
        <v>2335</v>
      </c>
    </row>
    <row r="2572" spans="1:4" ht="24.75" customHeight="1">
      <c r="A2572" s="3" t="str">
        <f>"34892021110420042143916"</f>
        <v>34892021110420042143916</v>
      </c>
      <c r="B2572" s="3" t="s">
        <v>2297</v>
      </c>
      <c r="C2572" s="3" t="str">
        <f>"王嗣鑫"</f>
        <v>王嗣鑫</v>
      </c>
      <c r="D2572" s="3" t="s">
        <v>2336</v>
      </c>
    </row>
    <row r="2573" spans="1:4" ht="24.75" customHeight="1">
      <c r="A2573" s="3" t="str">
        <f>"34892021110422001544165"</f>
        <v>34892021110422001544165</v>
      </c>
      <c r="B2573" s="3" t="s">
        <v>2297</v>
      </c>
      <c r="C2573" s="3" t="str">
        <f>"黄飞"</f>
        <v>黄飞</v>
      </c>
      <c r="D2573" s="3" t="s">
        <v>2337</v>
      </c>
    </row>
    <row r="2574" spans="1:4" ht="24.75" customHeight="1">
      <c r="A2574" s="3" t="str">
        <f>"34892021110500043444345"</f>
        <v>34892021110500043444345</v>
      </c>
      <c r="B2574" s="3" t="s">
        <v>2297</v>
      </c>
      <c r="C2574" s="3" t="str">
        <f>"陈思宇"</f>
        <v>陈思宇</v>
      </c>
      <c r="D2574" s="3" t="s">
        <v>2338</v>
      </c>
    </row>
    <row r="2575" spans="1:4" ht="24.75" customHeight="1">
      <c r="A2575" s="3" t="str">
        <f>"34892021110508312044447"</f>
        <v>34892021110508312044447</v>
      </c>
      <c r="B2575" s="3" t="s">
        <v>2297</v>
      </c>
      <c r="C2575" s="3" t="str">
        <f>"彭翎"</f>
        <v>彭翎</v>
      </c>
      <c r="D2575" s="3" t="s">
        <v>2339</v>
      </c>
    </row>
    <row r="2576" spans="1:4" ht="24.75" customHeight="1">
      <c r="A2576" s="3" t="str">
        <f>"34892021110508441544477"</f>
        <v>34892021110508441544477</v>
      </c>
      <c r="B2576" s="3" t="s">
        <v>2297</v>
      </c>
      <c r="C2576" s="3" t="str">
        <f>"冯丽娇"</f>
        <v>冯丽娇</v>
      </c>
      <c r="D2576" s="3" t="s">
        <v>332</v>
      </c>
    </row>
    <row r="2577" spans="1:4" ht="24.75" customHeight="1">
      <c r="A2577" s="3" t="str">
        <f>"34892021110508585944505"</f>
        <v>34892021110508585944505</v>
      </c>
      <c r="B2577" s="3" t="s">
        <v>2297</v>
      </c>
      <c r="C2577" s="3" t="str">
        <f>"郑蕊"</f>
        <v>郑蕊</v>
      </c>
      <c r="D2577" s="3" t="s">
        <v>2340</v>
      </c>
    </row>
    <row r="2578" spans="1:4" ht="24.75" customHeight="1">
      <c r="A2578" s="3" t="str">
        <f>"34892021110509365944603"</f>
        <v>34892021110509365944603</v>
      </c>
      <c r="B2578" s="3" t="s">
        <v>2297</v>
      </c>
      <c r="C2578" s="3" t="str">
        <f>"李丕成"</f>
        <v>李丕成</v>
      </c>
      <c r="D2578" s="3" t="s">
        <v>1227</v>
      </c>
    </row>
    <row r="2579" spans="1:4" ht="24.75" customHeight="1">
      <c r="A2579" s="3" t="str">
        <f>"34892021110509463844630"</f>
        <v>34892021110509463844630</v>
      </c>
      <c r="B2579" s="3" t="s">
        <v>2297</v>
      </c>
      <c r="C2579" s="3" t="str">
        <f>"林婉"</f>
        <v>林婉</v>
      </c>
      <c r="D2579" s="3" t="s">
        <v>2341</v>
      </c>
    </row>
    <row r="2580" spans="1:4" ht="24.75" customHeight="1">
      <c r="A2580" s="3" t="str">
        <f>"34892021110509502144636"</f>
        <v>34892021110509502144636</v>
      </c>
      <c r="B2580" s="3" t="s">
        <v>2297</v>
      </c>
      <c r="C2580" s="3" t="str">
        <f>"陈雅婷"</f>
        <v>陈雅婷</v>
      </c>
      <c r="D2580" s="3" t="s">
        <v>2342</v>
      </c>
    </row>
    <row r="2581" spans="1:4" ht="24.75" customHeight="1">
      <c r="A2581" s="3" t="str">
        <f>"34892021110510033344666"</f>
        <v>34892021110510033344666</v>
      </c>
      <c r="B2581" s="3" t="s">
        <v>2297</v>
      </c>
      <c r="C2581" s="3" t="str">
        <f>"吴小英"</f>
        <v>吴小英</v>
      </c>
      <c r="D2581" s="3" t="s">
        <v>2343</v>
      </c>
    </row>
    <row r="2582" spans="1:4" ht="24.75" customHeight="1">
      <c r="A2582" s="3" t="str">
        <f>"34892021110510171444706"</f>
        <v>34892021110510171444706</v>
      </c>
      <c r="B2582" s="3" t="s">
        <v>2297</v>
      </c>
      <c r="C2582" s="3" t="str">
        <f>"林丹"</f>
        <v>林丹</v>
      </c>
      <c r="D2582" s="3" t="s">
        <v>2344</v>
      </c>
    </row>
    <row r="2583" spans="1:4" ht="24.75" customHeight="1">
      <c r="A2583" s="3" t="str">
        <f>"34892021110510172244707"</f>
        <v>34892021110510172244707</v>
      </c>
      <c r="B2583" s="3" t="s">
        <v>2297</v>
      </c>
      <c r="C2583" s="3" t="str">
        <f>"曾垂腾"</f>
        <v>曾垂腾</v>
      </c>
      <c r="D2583" s="3" t="s">
        <v>2345</v>
      </c>
    </row>
    <row r="2584" spans="1:4" ht="24.75" customHeight="1">
      <c r="A2584" s="3" t="str">
        <f>"34892021110510205644722"</f>
        <v>34892021110510205644722</v>
      </c>
      <c r="B2584" s="3" t="s">
        <v>2297</v>
      </c>
      <c r="C2584" s="3" t="str">
        <f>"刘雪梅"</f>
        <v>刘雪梅</v>
      </c>
      <c r="D2584" s="3" t="s">
        <v>2346</v>
      </c>
    </row>
    <row r="2585" spans="1:4" ht="24.75" customHeight="1">
      <c r="A2585" s="3" t="str">
        <f>"34892021110510535244819"</f>
        <v>34892021110510535244819</v>
      </c>
      <c r="B2585" s="3" t="s">
        <v>2297</v>
      </c>
      <c r="C2585" s="3" t="str">
        <f>"梁予"</f>
        <v>梁予</v>
      </c>
      <c r="D2585" s="3" t="s">
        <v>2347</v>
      </c>
    </row>
    <row r="2586" spans="1:4" ht="24.75" customHeight="1">
      <c r="A2586" s="3" t="str">
        <f>"34892021110511405744937"</f>
        <v>34892021110511405744937</v>
      </c>
      <c r="B2586" s="3" t="s">
        <v>2297</v>
      </c>
      <c r="C2586" s="3" t="str">
        <f>"赵皓文"</f>
        <v>赵皓文</v>
      </c>
      <c r="D2586" s="3" t="s">
        <v>2348</v>
      </c>
    </row>
    <row r="2587" spans="1:4" ht="24.75" customHeight="1">
      <c r="A2587" s="3" t="str">
        <f>"34892021110513152045123"</f>
        <v>34892021110513152045123</v>
      </c>
      <c r="B2587" s="3" t="s">
        <v>2297</v>
      </c>
      <c r="C2587" s="3" t="str">
        <f>"李国艳"</f>
        <v>李国艳</v>
      </c>
      <c r="D2587" s="3" t="s">
        <v>2349</v>
      </c>
    </row>
    <row r="2588" spans="1:4" ht="24.75" customHeight="1">
      <c r="A2588" s="3" t="str">
        <f>"34892021110514015745206"</f>
        <v>34892021110514015745206</v>
      </c>
      <c r="B2588" s="3" t="s">
        <v>2297</v>
      </c>
      <c r="C2588" s="3" t="str">
        <f>"李文婷"</f>
        <v>李文婷</v>
      </c>
      <c r="D2588" s="3" t="s">
        <v>2350</v>
      </c>
    </row>
    <row r="2589" spans="1:4" ht="24.75" customHeight="1">
      <c r="A2589" s="3" t="str">
        <f>"34892021110514450145284"</f>
        <v>34892021110514450145284</v>
      </c>
      <c r="B2589" s="3" t="s">
        <v>2297</v>
      </c>
      <c r="C2589" s="3" t="str">
        <f>"吴桂立"</f>
        <v>吴桂立</v>
      </c>
      <c r="D2589" s="3" t="s">
        <v>241</v>
      </c>
    </row>
    <row r="2590" spans="1:4" ht="24.75" customHeight="1">
      <c r="A2590" s="3" t="str">
        <f>"34892021110514520145305"</f>
        <v>34892021110514520145305</v>
      </c>
      <c r="B2590" s="3" t="s">
        <v>2297</v>
      </c>
      <c r="C2590" s="3" t="str">
        <f>"曾秋丹"</f>
        <v>曾秋丹</v>
      </c>
      <c r="D2590" s="3" t="s">
        <v>2351</v>
      </c>
    </row>
    <row r="2591" spans="1:4" ht="24.75" customHeight="1">
      <c r="A2591" s="3" t="str">
        <f>"34892021110516430745628"</f>
        <v>34892021110516430745628</v>
      </c>
      <c r="B2591" s="3" t="s">
        <v>2297</v>
      </c>
      <c r="C2591" s="3" t="str">
        <f>"何日美"</f>
        <v>何日美</v>
      </c>
      <c r="D2591" s="3" t="s">
        <v>2352</v>
      </c>
    </row>
    <row r="2592" spans="1:4" ht="24.75" customHeight="1">
      <c r="A2592" s="3" t="str">
        <f>"34892021110516494345641"</f>
        <v>34892021110516494345641</v>
      </c>
      <c r="B2592" s="3" t="s">
        <v>2297</v>
      </c>
      <c r="C2592" s="3" t="str">
        <f>"董薇"</f>
        <v>董薇</v>
      </c>
      <c r="D2592" s="3" t="s">
        <v>2353</v>
      </c>
    </row>
    <row r="2593" spans="1:4" ht="24.75" customHeight="1">
      <c r="A2593" s="3" t="str">
        <f>"34892021110516571245664"</f>
        <v>34892021110516571245664</v>
      </c>
      <c r="B2593" s="3" t="s">
        <v>2297</v>
      </c>
      <c r="C2593" s="3" t="str">
        <f>"陈婷"</f>
        <v>陈婷</v>
      </c>
      <c r="D2593" s="3" t="s">
        <v>2354</v>
      </c>
    </row>
    <row r="2594" spans="1:4" ht="24.75" customHeight="1">
      <c r="A2594" s="3" t="str">
        <f>"34892021110517421045721"</f>
        <v>34892021110517421045721</v>
      </c>
      <c r="B2594" s="3" t="s">
        <v>2297</v>
      </c>
      <c r="C2594" s="3" t="str">
        <f>"王若"</f>
        <v>王若</v>
      </c>
      <c r="D2594" s="3" t="s">
        <v>2355</v>
      </c>
    </row>
    <row r="2595" spans="1:4" ht="24.75" customHeight="1">
      <c r="A2595" s="3" t="str">
        <f>"34892021110518181245757"</f>
        <v>34892021110518181245757</v>
      </c>
      <c r="B2595" s="3" t="s">
        <v>2297</v>
      </c>
      <c r="C2595" s="3" t="str">
        <f>"王雪彤"</f>
        <v>王雪彤</v>
      </c>
      <c r="D2595" s="3" t="s">
        <v>812</v>
      </c>
    </row>
    <row r="2596" spans="1:4" ht="24.75" customHeight="1">
      <c r="A2596" s="3" t="str">
        <f>"34892021110519145945797"</f>
        <v>34892021110519145945797</v>
      </c>
      <c r="B2596" s="3" t="s">
        <v>2297</v>
      </c>
      <c r="C2596" s="3" t="str">
        <f>"林先达"</f>
        <v>林先达</v>
      </c>
      <c r="D2596" s="3" t="s">
        <v>2356</v>
      </c>
    </row>
    <row r="2597" spans="1:4" ht="24.75" customHeight="1">
      <c r="A2597" s="3" t="str">
        <f>"34892021110520232645846"</f>
        <v>34892021110520232645846</v>
      </c>
      <c r="B2597" s="3" t="s">
        <v>2297</v>
      </c>
      <c r="C2597" s="3" t="str">
        <f>"林松志"</f>
        <v>林松志</v>
      </c>
      <c r="D2597" s="3" t="s">
        <v>2357</v>
      </c>
    </row>
    <row r="2598" spans="1:4" ht="24.75" customHeight="1">
      <c r="A2598" s="3" t="str">
        <f>"34892021110521512445919"</f>
        <v>34892021110521512445919</v>
      </c>
      <c r="B2598" s="3" t="s">
        <v>2297</v>
      </c>
      <c r="C2598" s="3" t="str">
        <f>"王富鹏"</f>
        <v>王富鹏</v>
      </c>
      <c r="D2598" s="3" t="s">
        <v>2358</v>
      </c>
    </row>
    <row r="2599" spans="1:4" ht="24.75" customHeight="1">
      <c r="A2599" s="3" t="str">
        <f>"34892021110523331346007"</f>
        <v>34892021110523331346007</v>
      </c>
      <c r="B2599" s="3" t="s">
        <v>2297</v>
      </c>
      <c r="C2599" s="3" t="str">
        <f>"蒋应森"</f>
        <v>蒋应森</v>
      </c>
      <c r="D2599" s="3" t="s">
        <v>2359</v>
      </c>
    </row>
    <row r="2600" spans="1:4" ht="24.75" customHeight="1">
      <c r="A2600" s="3" t="str">
        <f>"34892021110601360646045"</f>
        <v>34892021110601360646045</v>
      </c>
      <c r="B2600" s="3" t="s">
        <v>2297</v>
      </c>
      <c r="C2600" s="3" t="str">
        <f>"林小文"</f>
        <v>林小文</v>
      </c>
      <c r="D2600" s="3" t="s">
        <v>2360</v>
      </c>
    </row>
    <row r="2601" spans="1:4" ht="24.75" customHeight="1">
      <c r="A2601" s="3" t="str">
        <f>"34892021110609080046081"</f>
        <v>34892021110609080046081</v>
      </c>
      <c r="B2601" s="3" t="s">
        <v>2297</v>
      </c>
      <c r="C2601" s="3" t="str">
        <f>"林瑞孙"</f>
        <v>林瑞孙</v>
      </c>
      <c r="D2601" s="3" t="s">
        <v>2361</v>
      </c>
    </row>
    <row r="2602" spans="1:4" ht="24.75" customHeight="1">
      <c r="A2602" s="3" t="str">
        <f>"34892021110609221646087"</f>
        <v>34892021110609221646087</v>
      </c>
      <c r="B2602" s="3" t="s">
        <v>2297</v>
      </c>
      <c r="C2602" s="3" t="str">
        <f>"黄秀清"</f>
        <v>黄秀清</v>
      </c>
      <c r="D2602" s="3" t="s">
        <v>2362</v>
      </c>
    </row>
    <row r="2603" spans="1:4" ht="24.75" customHeight="1">
      <c r="A2603" s="3" t="str">
        <f>"34892021110609291646090"</f>
        <v>34892021110609291646090</v>
      </c>
      <c r="B2603" s="3" t="s">
        <v>2297</v>
      </c>
      <c r="C2603" s="3" t="str">
        <f>"蔡文谞"</f>
        <v>蔡文谞</v>
      </c>
      <c r="D2603" s="3" t="s">
        <v>2363</v>
      </c>
    </row>
    <row r="2604" spans="1:4" ht="24.75" customHeight="1">
      <c r="A2604" s="3" t="str">
        <f>"34892021110610105846121"</f>
        <v>34892021110610105846121</v>
      </c>
      <c r="B2604" s="3" t="s">
        <v>2297</v>
      </c>
      <c r="C2604" s="3" t="str">
        <f>"吴丽娟"</f>
        <v>吴丽娟</v>
      </c>
      <c r="D2604" s="3" t="s">
        <v>2364</v>
      </c>
    </row>
    <row r="2605" spans="1:4" ht="24.75" customHeight="1">
      <c r="A2605" s="3" t="str">
        <f>"34892021110611192746174"</f>
        <v>34892021110611192746174</v>
      </c>
      <c r="B2605" s="3" t="s">
        <v>2297</v>
      </c>
      <c r="C2605" s="3" t="str">
        <f>"吴清智"</f>
        <v>吴清智</v>
      </c>
      <c r="D2605" s="3" t="s">
        <v>2365</v>
      </c>
    </row>
    <row r="2606" spans="1:4" ht="24.75" customHeight="1">
      <c r="A2606" s="3" t="str">
        <f>"34892021110612260146223"</f>
        <v>34892021110612260146223</v>
      </c>
      <c r="B2606" s="3" t="s">
        <v>2297</v>
      </c>
      <c r="C2606" s="3" t="str">
        <f>"符海良"</f>
        <v>符海良</v>
      </c>
      <c r="D2606" s="3" t="s">
        <v>2366</v>
      </c>
    </row>
    <row r="2607" spans="1:4" ht="24.75" customHeight="1">
      <c r="A2607" s="3" t="str">
        <f>"34892021110623281546621"</f>
        <v>34892021110623281546621</v>
      </c>
      <c r="B2607" s="3" t="s">
        <v>2297</v>
      </c>
      <c r="C2607" s="3" t="str">
        <f>"吴水明"</f>
        <v>吴水明</v>
      </c>
      <c r="D2607" s="3" t="s">
        <v>2367</v>
      </c>
    </row>
    <row r="2608" spans="1:4" ht="24.75" customHeight="1">
      <c r="A2608" s="3" t="str">
        <f>"34892021110711562746785"</f>
        <v>34892021110711562746785</v>
      </c>
      <c r="B2608" s="3" t="s">
        <v>2297</v>
      </c>
      <c r="C2608" s="3" t="str">
        <f>"何垂严"</f>
        <v>何垂严</v>
      </c>
      <c r="D2608" s="3" t="s">
        <v>2368</v>
      </c>
    </row>
    <row r="2609" spans="1:4" ht="24.75" customHeight="1">
      <c r="A2609" s="3" t="str">
        <f>"34892021110712242046797"</f>
        <v>34892021110712242046797</v>
      </c>
      <c r="B2609" s="3" t="s">
        <v>2297</v>
      </c>
      <c r="C2609" s="3" t="str">
        <f>"王梦圆"</f>
        <v>王梦圆</v>
      </c>
      <c r="D2609" s="3" t="s">
        <v>2369</v>
      </c>
    </row>
    <row r="2610" spans="1:4" ht="24.75" customHeight="1">
      <c r="A2610" s="3" t="str">
        <f>"34892021110713585546850"</f>
        <v>34892021110713585546850</v>
      </c>
      <c r="B2610" s="3" t="s">
        <v>2297</v>
      </c>
      <c r="C2610" s="3" t="str">
        <f>"崔育莹"</f>
        <v>崔育莹</v>
      </c>
      <c r="D2610" s="3" t="s">
        <v>2370</v>
      </c>
    </row>
    <row r="2611" spans="1:4" ht="24.75" customHeight="1">
      <c r="A2611" s="3" t="str">
        <f>"34892021110714210846866"</f>
        <v>34892021110714210846866</v>
      </c>
      <c r="B2611" s="3" t="s">
        <v>2297</v>
      </c>
      <c r="C2611" s="3" t="str">
        <f>"李深威"</f>
        <v>李深威</v>
      </c>
      <c r="D2611" s="3" t="s">
        <v>2371</v>
      </c>
    </row>
    <row r="2612" spans="1:4" ht="24.75" customHeight="1">
      <c r="A2612" s="3" t="str">
        <f>"34892021110715090146892"</f>
        <v>34892021110715090146892</v>
      </c>
      <c r="B2612" s="3" t="s">
        <v>2297</v>
      </c>
      <c r="C2612" s="3" t="str">
        <f>"林资鑫"</f>
        <v>林资鑫</v>
      </c>
      <c r="D2612" s="3" t="s">
        <v>1265</v>
      </c>
    </row>
    <row r="2613" spans="1:4" ht="24.75" customHeight="1">
      <c r="A2613" s="3" t="str">
        <f>"34892021110718472147032"</f>
        <v>34892021110718472147032</v>
      </c>
      <c r="B2613" s="3" t="s">
        <v>2297</v>
      </c>
      <c r="C2613" s="3" t="str">
        <f>"黄丽敏"</f>
        <v>黄丽敏</v>
      </c>
      <c r="D2613" s="3" t="s">
        <v>2372</v>
      </c>
    </row>
    <row r="2614" spans="1:4" ht="24.75" customHeight="1">
      <c r="A2614" s="3" t="str">
        <f>"34892021110719101147041"</f>
        <v>34892021110719101147041</v>
      </c>
      <c r="B2614" s="3" t="s">
        <v>2297</v>
      </c>
      <c r="C2614" s="3" t="str">
        <f>"罗伶"</f>
        <v>罗伶</v>
      </c>
      <c r="D2614" s="3" t="s">
        <v>2373</v>
      </c>
    </row>
    <row r="2615" spans="1:4" ht="24.75" customHeight="1">
      <c r="A2615" s="3" t="str">
        <f>"34892021110720540247106"</f>
        <v>34892021110720540247106</v>
      </c>
      <c r="B2615" s="3" t="s">
        <v>2297</v>
      </c>
      <c r="C2615" s="3" t="str">
        <f>"陈诗民"</f>
        <v>陈诗民</v>
      </c>
      <c r="D2615" s="3" t="s">
        <v>2267</v>
      </c>
    </row>
    <row r="2616" spans="1:4" ht="24.75" customHeight="1">
      <c r="A2616" s="3" t="str">
        <f>"34892021110721250647132"</f>
        <v>34892021110721250647132</v>
      </c>
      <c r="B2616" s="3" t="s">
        <v>2297</v>
      </c>
      <c r="C2616" s="3" t="str">
        <f>"钟文玲"</f>
        <v>钟文玲</v>
      </c>
      <c r="D2616" s="3" t="s">
        <v>2374</v>
      </c>
    </row>
    <row r="2617" spans="1:4" ht="24.75" customHeight="1">
      <c r="A2617" s="3" t="str">
        <f>"34892021110722000547164"</f>
        <v>34892021110722000547164</v>
      </c>
      <c r="B2617" s="3" t="s">
        <v>2297</v>
      </c>
      <c r="C2617" s="3" t="str">
        <f>"王晓佳"</f>
        <v>王晓佳</v>
      </c>
      <c r="D2617" s="3" t="s">
        <v>2375</v>
      </c>
    </row>
    <row r="2618" spans="1:4" ht="24.75" customHeight="1">
      <c r="A2618" s="3" t="str">
        <f>"34892021110722080947169"</f>
        <v>34892021110722080947169</v>
      </c>
      <c r="B2618" s="3" t="s">
        <v>2297</v>
      </c>
      <c r="C2618" s="3" t="str">
        <f>"吴丽娴"</f>
        <v>吴丽娴</v>
      </c>
      <c r="D2618" s="3" t="s">
        <v>2376</v>
      </c>
    </row>
    <row r="2619" spans="1:4" ht="24.75" customHeight="1">
      <c r="A2619" s="3" t="str">
        <f>"34892021110722184247183"</f>
        <v>34892021110722184247183</v>
      </c>
      <c r="B2619" s="3" t="s">
        <v>2297</v>
      </c>
      <c r="C2619" s="3" t="str">
        <f>"王晨静"</f>
        <v>王晨静</v>
      </c>
      <c r="D2619" s="3" t="s">
        <v>2377</v>
      </c>
    </row>
    <row r="2620" spans="1:4" ht="24.75" customHeight="1">
      <c r="A2620" s="3" t="str">
        <f>"34892021110722580547216"</f>
        <v>34892021110722580547216</v>
      </c>
      <c r="B2620" s="3" t="s">
        <v>2297</v>
      </c>
      <c r="C2620" s="3" t="str">
        <f>"陈世俊"</f>
        <v>陈世俊</v>
      </c>
      <c r="D2620" s="3" t="s">
        <v>2378</v>
      </c>
    </row>
    <row r="2621" spans="1:4" ht="24.75" customHeight="1">
      <c r="A2621" s="3" t="str">
        <f>"34892021110800265647269"</f>
        <v>34892021110800265647269</v>
      </c>
      <c r="B2621" s="3" t="s">
        <v>2297</v>
      </c>
      <c r="C2621" s="3" t="str">
        <f>"赖裕超"</f>
        <v>赖裕超</v>
      </c>
      <c r="D2621" s="3" t="s">
        <v>2379</v>
      </c>
    </row>
    <row r="2622" spans="1:4" ht="24.75" customHeight="1">
      <c r="A2622" s="3" t="str">
        <f>"34892021110809245547392"</f>
        <v>34892021110809245547392</v>
      </c>
      <c r="B2622" s="3" t="s">
        <v>2297</v>
      </c>
      <c r="C2622" s="3" t="str">
        <f>"王彩虹"</f>
        <v>王彩虹</v>
      </c>
      <c r="D2622" s="3" t="s">
        <v>2380</v>
      </c>
    </row>
    <row r="2623" spans="1:4" ht="24.75" customHeight="1">
      <c r="A2623" s="3" t="str">
        <f>"34892021110809345647405"</f>
        <v>34892021110809345647405</v>
      </c>
      <c r="B2623" s="3" t="s">
        <v>2297</v>
      </c>
      <c r="C2623" s="3" t="str">
        <f>"段子嘉"</f>
        <v>段子嘉</v>
      </c>
      <c r="D2623" s="3" t="s">
        <v>2381</v>
      </c>
    </row>
    <row r="2624" spans="1:4" ht="24.75" customHeight="1">
      <c r="A2624" s="3" t="str">
        <f>"34892021110809502847429"</f>
        <v>34892021110809502847429</v>
      </c>
      <c r="B2624" s="3" t="s">
        <v>2297</v>
      </c>
      <c r="C2624" s="3" t="str">
        <f>"林帝颖"</f>
        <v>林帝颖</v>
      </c>
      <c r="D2624" s="3" t="s">
        <v>2382</v>
      </c>
    </row>
    <row r="2625" spans="1:4" ht="24.75" customHeight="1">
      <c r="A2625" s="3" t="str">
        <f>"34892021110810032747456"</f>
        <v>34892021110810032747456</v>
      </c>
      <c r="B2625" s="3" t="s">
        <v>2297</v>
      </c>
      <c r="C2625" s="3" t="str">
        <f>"文良青"</f>
        <v>文良青</v>
      </c>
      <c r="D2625" s="3" t="s">
        <v>2383</v>
      </c>
    </row>
    <row r="2626" spans="1:4" ht="24.75" customHeight="1">
      <c r="A2626" s="3" t="str">
        <f>"34892021110810362347516"</f>
        <v>34892021110810362347516</v>
      </c>
      <c r="B2626" s="3" t="s">
        <v>2297</v>
      </c>
      <c r="C2626" s="3" t="str">
        <f>"陈飞帆"</f>
        <v>陈飞帆</v>
      </c>
      <c r="D2626" s="3" t="s">
        <v>2384</v>
      </c>
    </row>
    <row r="2627" spans="1:4" ht="24.75" customHeight="1">
      <c r="A2627" s="3" t="str">
        <f>"34892021110810471447532"</f>
        <v>34892021110810471447532</v>
      </c>
      <c r="B2627" s="3" t="s">
        <v>2297</v>
      </c>
      <c r="C2627" s="3" t="str">
        <f>"羊嘉球"</f>
        <v>羊嘉球</v>
      </c>
      <c r="D2627" s="3" t="s">
        <v>2385</v>
      </c>
    </row>
    <row r="2628" spans="1:4" ht="24.75" customHeight="1">
      <c r="A2628" s="3" t="str">
        <f>"34892021110811184847574"</f>
        <v>34892021110811184847574</v>
      </c>
      <c r="B2628" s="3" t="s">
        <v>2297</v>
      </c>
      <c r="C2628" s="3" t="str">
        <f>"梅斌"</f>
        <v>梅斌</v>
      </c>
      <c r="D2628" s="3" t="s">
        <v>2386</v>
      </c>
    </row>
    <row r="2629" spans="1:4" ht="24.75" customHeight="1">
      <c r="A2629" s="3" t="str">
        <f>"34892021110813475247758"</f>
        <v>34892021110813475247758</v>
      </c>
      <c r="B2629" s="3" t="s">
        <v>2297</v>
      </c>
      <c r="C2629" s="3" t="str">
        <f>"王辉"</f>
        <v>王辉</v>
      </c>
      <c r="D2629" s="3" t="s">
        <v>1258</v>
      </c>
    </row>
    <row r="2630" spans="1:4" ht="24.75" customHeight="1">
      <c r="A2630" s="3" t="str">
        <f>"34892021110814320147794"</f>
        <v>34892021110814320147794</v>
      </c>
      <c r="B2630" s="3" t="s">
        <v>2297</v>
      </c>
      <c r="C2630" s="3" t="str">
        <f>"韩冬晴"</f>
        <v>韩冬晴</v>
      </c>
      <c r="D2630" s="3" t="s">
        <v>1811</v>
      </c>
    </row>
    <row r="2631" spans="1:4" ht="24.75" customHeight="1">
      <c r="A2631" s="3" t="str">
        <f>"34892021110815095647853"</f>
        <v>34892021110815095647853</v>
      </c>
      <c r="B2631" s="3" t="s">
        <v>2297</v>
      </c>
      <c r="C2631" s="3" t="str">
        <f>"符冬梅"</f>
        <v>符冬梅</v>
      </c>
      <c r="D2631" s="3" t="s">
        <v>2387</v>
      </c>
    </row>
    <row r="2632" spans="1:4" ht="24.75" customHeight="1">
      <c r="A2632" s="3" t="str">
        <f>"34892021110815533347912"</f>
        <v>34892021110815533347912</v>
      </c>
      <c r="B2632" s="3" t="s">
        <v>2297</v>
      </c>
      <c r="C2632" s="3" t="str">
        <f>"简敏"</f>
        <v>简敏</v>
      </c>
      <c r="D2632" s="3" t="s">
        <v>2388</v>
      </c>
    </row>
    <row r="2633" spans="1:4" ht="24.75" customHeight="1">
      <c r="A2633" s="3" t="str">
        <f>"34892021110815544747914"</f>
        <v>34892021110815544747914</v>
      </c>
      <c r="B2633" s="3" t="s">
        <v>2297</v>
      </c>
      <c r="C2633" s="3" t="str">
        <f>"王运丹"</f>
        <v>王运丹</v>
      </c>
      <c r="D2633" s="3" t="s">
        <v>2389</v>
      </c>
    </row>
    <row r="2634" spans="1:4" ht="24.75" customHeight="1">
      <c r="A2634" s="3" t="str">
        <f>"34892021110816110447940"</f>
        <v>34892021110816110447940</v>
      </c>
      <c r="B2634" s="3" t="s">
        <v>2297</v>
      </c>
      <c r="C2634" s="3" t="str">
        <f>"符其绿"</f>
        <v>符其绿</v>
      </c>
      <c r="D2634" s="3" t="s">
        <v>2390</v>
      </c>
    </row>
    <row r="2635" spans="1:4" ht="24.75" customHeight="1">
      <c r="A2635" s="3" t="str">
        <f>"34892021110816121047942"</f>
        <v>34892021110816121047942</v>
      </c>
      <c r="B2635" s="3" t="s">
        <v>2297</v>
      </c>
      <c r="C2635" s="3" t="str">
        <f>"黄兹旺"</f>
        <v>黄兹旺</v>
      </c>
      <c r="D2635" s="3" t="s">
        <v>2391</v>
      </c>
    </row>
    <row r="2636" spans="1:4" ht="24.75" customHeight="1">
      <c r="A2636" s="3" t="str">
        <f>"34892021110816594748029"</f>
        <v>34892021110816594748029</v>
      </c>
      <c r="B2636" s="3" t="s">
        <v>2297</v>
      </c>
      <c r="C2636" s="3" t="str">
        <f>"阮业锦"</f>
        <v>阮业锦</v>
      </c>
      <c r="D2636" s="3" t="s">
        <v>2392</v>
      </c>
    </row>
    <row r="2637" spans="1:4" ht="24.75" customHeight="1">
      <c r="A2637" s="3" t="str">
        <f>"34892021110817091548039"</f>
        <v>34892021110817091548039</v>
      </c>
      <c r="B2637" s="3" t="s">
        <v>2297</v>
      </c>
      <c r="C2637" s="3" t="str">
        <f>"陈美玲"</f>
        <v>陈美玲</v>
      </c>
      <c r="D2637" s="3" t="s">
        <v>2393</v>
      </c>
    </row>
    <row r="2638" spans="1:4" ht="24.75" customHeight="1">
      <c r="A2638" s="3" t="str">
        <f>"34892021110818121748128"</f>
        <v>34892021110818121748128</v>
      </c>
      <c r="B2638" s="3" t="s">
        <v>2297</v>
      </c>
      <c r="C2638" s="3" t="str">
        <f>"王文静"</f>
        <v>王文静</v>
      </c>
      <c r="D2638" s="3" t="s">
        <v>2394</v>
      </c>
    </row>
    <row r="2639" spans="1:4" ht="24.75" customHeight="1">
      <c r="A2639" s="3" t="str">
        <f>"34892021110819184248204"</f>
        <v>34892021110819184248204</v>
      </c>
      <c r="B2639" s="3" t="s">
        <v>2297</v>
      </c>
      <c r="C2639" s="3" t="str">
        <f>"李雪伦"</f>
        <v>李雪伦</v>
      </c>
      <c r="D2639" s="3" t="s">
        <v>2395</v>
      </c>
    </row>
    <row r="2640" spans="1:4" ht="24.75" customHeight="1">
      <c r="A2640" s="3" t="str">
        <f>"34892021110819215048207"</f>
        <v>34892021110819215048207</v>
      </c>
      <c r="B2640" s="3" t="s">
        <v>2297</v>
      </c>
      <c r="C2640" s="3" t="str">
        <f>"李欣泽"</f>
        <v>李欣泽</v>
      </c>
      <c r="D2640" s="3" t="s">
        <v>2396</v>
      </c>
    </row>
    <row r="2641" spans="1:4" ht="24.75" customHeight="1">
      <c r="A2641" s="3" t="str">
        <f>"34892021110819362348228"</f>
        <v>34892021110819362348228</v>
      </c>
      <c r="B2641" s="3" t="s">
        <v>2297</v>
      </c>
      <c r="C2641" s="3" t="str">
        <f>"朱康欢"</f>
        <v>朱康欢</v>
      </c>
      <c r="D2641" s="3" t="s">
        <v>1450</v>
      </c>
    </row>
    <row r="2642" spans="1:4" ht="24.75" customHeight="1">
      <c r="A2642" s="3" t="str">
        <f>"34892021110820224348305"</f>
        <v>34892021110820224348305</v>
      </c>
      <c r="B2642" s="3" t="s">
        <v>2297</v>
      </c>
      <c r="C2642" s="3" t="str">
        <f>"陈春教"</f>
        <v>陈春教</v>
      </c>
      <c r="D2642" s="3" t="s">
        <v>2397</v>
      </c>
    </row>
    <row r="2643" spans="1:4" ht="24.75" customHeight="1">
      <c r="A2643" s="3" t="str">
        <f>"34892021110821394748468"</f>
        <v>34892021110821394748468</v>
      </c>
      <c r="B2643" s="3" t="s">
        <v>2297</v>
      </c>
      <c r="C2643" s="3" t="str">
        <f>"王贝"</f>
        <v>王贝</v>
      </c>
      <c r="D2643" s="3" t="s">
        <v>2398</v>
      </c>
    </row>
    <row r="2644" spans="1:4" ht="24.75" customHeight="1">
      <c r="A2644" s="3" t="str">
        <f>"34892021110821585248499"</f>
        <v>34892021110821585248499</v>
      </c>
      <c r="B2644" s="3" t="s">
        <v>2297</v>
      </c>
      <c r="C2644" s="3" t="str">
        <f>"夏高龙"</f>
        <v>夏高龙</v>
      </c>
      <c r="D2644" s="3" t="s">
        <v>2399</v>
      </c>
    </row>
    <row r="2645" spans="1:4" ht="24.75" customHeight="1">
      <c r="A2645" s="3" t="str">
        <f>"34892021110822345548560"</f>
        <v>34892021110822345548560</v>
      </c>
      <c r="B2645" s="3" t="s">
        <v>2297</v>
      </c>
      <c r="C2645" s="3" t="str">
        <f>"徐文键"</f>
        <v>徐文键</v>
      </c>
      <c r="D2645" s="3" t="s">
        <v>2400</v>
      </c>
    </row>
    <row r="2646" spans="1:4" ht="24.75" customHeight="1">
      <c r="A2646" s="3" t="str">
        <f>"34892021110900212348688"</f>
        <v>34892021110900212348688</v>
      </c>
      <c r="B2646" s="3" t="s">
        <v>2297</v>
      </c>
      <c r="C2646" s="3" t="str">
        <f>"陈英"</f>
        <v>陈英</v>
      </c>
      <c r="D2646" s="3" t="s">
        <v>2401</v>
      </c>
    </row>
    <row r="2647" spans="1:4" ht="24.75" customHeight="1">
      <c r="A2647" s="3" t="str">
        <f>"34892021110901435948710"</f>
        <v>34892021110901435948710</v>
      </c>
      <c r="B2647" s="3" t="s">
        <v>2297</v>
      </c>
      <c r="C2647" s="3" t="str">
        <f>"云燕"</f>
        <v>云燕</v>
      </c>
      <c r="D2647" s="3" t="s">
        <v>2402</v>
      </c>
    </row>
    <row r="2648" spans="1:4" ht="24.75" customHeight="1">
      <c r="A2648" s="3" t="str">
        <f>"34892021110909090948817"</f>
        <v>34892021110909090948817</v>
      </c>
      <c r="B2648" s="3" t="s">
        <v>2297</v>
      </c>
      <c r="C2648" s="3" t="str">
        <f>"曾令浩"</f>
        <v>曾令浩</v>
      </c>
      <c r="D2648" s="3" t="s">
        <v>2403</v>
      </c>
    </row>
    <row r="2649" spans="1:4" ht="24.75" customHeight="1">
      <c r="A2649" s="3" t="str">
        <f>"34892021110909245348846"</f>
        <v>34892021110909245348846</v>
      </c>
      <c r="B2649" s="3" t="s">
        <v>2297</v>
      </c>
      <c r="C2649" s="3" t="str">
        <f>"杨其成"</f>
        <v>杨其成</v>
      </c>
      <c r="D2649" s="3" t="s">
        <v>2404</v>
      </c>
    </row>
    <row r="2650" spans="1:4" ht="24.75" customHeight="1">
      <c r="A2650" s="3" t="str">
        <f>"34892021110909410948872"</f>
        <v>34892021110909410948872</v>
      </c>
      <c r="B2650" s="3" t="s">
        <v>2297</v>
      </c>
      <c r="C2650" s="3" t="str">
        <f>"梁菲"</f>
        <v>梁菲</v>
      </c>
      <c r="D2650" s="3" t="s">
        <v>387</v>
      </c>
    </row>
    <row r="2651" spans="1:4" ht="24.75" customHeight="1">
      <c r="A2651" s="3" t="str">
        <f>"34892021110910192248952"</f>
        <v>34892021110910192248952</v>
      </c>
      <c r="B2651" s="3" t="s">
        <v>2297</v>
      </c>
      <c r="C2651" s="3" t="str">
        <f>"罗家"</f>
        <v>罗家</v>
      </c>
      <c r="D2651" s="3" t="s">
        <v>415</v>
      </c>
    </row>
    <row r="2652" spans="1:4" ht="24.75" customHeight="1">
      <c r="A2652" s="3" t="str">
        <f>"34892021110911203549056"</f>
        <v>34892021110911203549056</v>
      </c>
      <c r="B2652" s="3" t="s">
        <v>2297</v>
      </c>
      <c r="C2652" s="3" t="str">
        <f>"符碧娟"</f>
        <v>符碧娟</v>
      </c>
      <c r="D2652" s="3" t="s">
        <v>1802</v>
      </c>
    </row>
    <row r="2653" spans="1:4" ht="24.75" customHeight="1">
      <c r="A2653" s="3" t="str">
        <f>"34892021110911315949075"</f>
        <v>34892021110911315949075</v>
      </c>
      <c r="B2653" s="3" t="s">
        <v>2297</v>
      </c>
      <c r="C2653" s="3" t="str">
        <f>"陈保春"</f>
        <v>陈保春</v>
      </c>
      <c r="D2653" s="3" t="s">
        <v>2405</v>
      </c>
    </row>
    <row r="2654" spans="1:4" ht="24.75" customHeight="1">
      <c r="A2654" s="3" t="str">
        <f>"34892021110914240849212"</f>
        <v>34892021110914240849212</v>
      </c>
      <c r="B2654" s="3" t="s">
        <v>2297</v>
      </c>
      <c r="C2654" s="3" t="str">
        <f>"符佩茹"</f>
        <v>符佩茹</v>
      </c>
      <c r="D2654" s="3" t="s">
        <v>2406</v>
      </c>
    </row>
    <row r="2655" spans="1:4" ht="24.75" customHeight="1">
      <c r="A2655" s="3" t="str">
        <f>"34892021110914400149226"</f>
        <v>34892021110914400149226</v>
      </c>
      <c r="B2655" s="3" t="s">
        <v>2297</v>
      </c>
      <c r="C2655" s="3" t="str">
        <f>"叶彦君"</f>
        <v>叶彦君</v>
      </c>
      <c r="D2655" s="3" t="s">
        <v>2407</v>
      </c>
    </row>
    <row r="2656" spans="1:4" ht="24.75" customHeight="1">
      <c r="A2656" s="3" t="str">
        <f>"34892021110915072349257"</f>
        <v>34892021110915072349257</v>
      </c>
      <c r="B2656" s="3" t="s">
        <v>2297</v>
      </c>
      <c r="C2656" s="3" t="str">
        <f>"廖洵"</f>
        <v>廖洵</v>
      </c>
      <c r="D2656" s="3" t="s">
        <v>111</v>
      </c>
    </row>
    <row r="2657" spans="1:4" ht="24.75" customHeight="1">
      <c r="A2657" s="3" t="str">
        <f>"34892021110915430549309"</f>
        <v>34892021110915430549309</v>
      </c>
      <c r="B2657" s="3" t="s">
        <v>2297</v>
      </c>
      <c r="C2657" s="3" t="str">
        <f>"陈定祥"</f>
        <v>陈定祥</v>
      </c>
      <c r="D2657" s="3" t="s">
        <v>2408</v>
      </c>
    </row>
    <row r="2658" spans="1:4" ht="24.75" customHeight="1">
      <c r="A2658" s="3" t="str">
        <f>"34892021110916113549354"</f>
        <v>34892021110916113549354</v>
      </c>
      <c r="B2658" s="3" t="s">
        <v>2297</v>
      </c>
      <c r="C2658" s="3" t="str">
        <f>"符式宪"</f>
        <v>符式宪</v>
      </c>
      <c r="D2658" s="3" t="s">
        <v>2409</v>
      </c>
    </row>
    <row r="2659" spans="1:4" ht="24.75" customHeight="1">
      <c r="A2659" s="3" t="str">
        <f>"34892021110916132349358"</f>
        <v>34892021110916132349358</v>
      </c>
      <c r="B2659" s="3" t="s">
        <v>2297</v>
      </c>
      <c r="C2659" s="3" t="str">
        <f>"韩鹰畴"</f>
        <v>韩鹰畴</v>
      </c>
      <c r="D2659" s="3" t="s">
        <v>2410</v>
      </c>
    </row>
    <row r="2660" spans="1:4" ht="24.75" customHeight="1">
      <c r="A2660" s="3" t="str">
        <f>"34892021110309005837452"</f>
        <v>34892021110309005837452</v>
      </c>
      <c r="B2660" s="3" t="s">
        <v>2411</v>
      </c>
      <c r="C2660" s="3" t="str">
        <f>"陈声晓"</f>
        <v>陈声晓</v>
      </c>
      <c r="D2660" s="3" t="s">
        <v>2412</v>
      </c>
    </row>
    <row r="2661" spans="1:4" ht="24.75" customHeight="1">
      <c r="A2661" s="3" t="str">
        <f>"34892021110309013237458"</f>
        <v>34892021110309013237458</v>
      </c>
      <c r="B2661" s="3" t="s">
        <v>2411</v>
      </c>
      <c r="C2661" s="3" t="str">
        <f>"赵甜"</f>
        <v>赵甜</v>
      </c>
      <c r="D2661" s="3" t="s">
        <v>2413</v>
      </c>
    </row>
    <row r="2662" spans="1:4" ht="24.75" customHeight="1">
      <c r="A2662" s="3" t="str">
        <f>"34892021110309013237459"</f>
        <v>34892021110309013237459</v>
      </c>
      <c r="B2662" s="3" t="s">
        <v>2411</v>
      </c>
      <c r="C2662" s="3" t="str">
        <f>"陈天凤"</f>
        <v>陈天凤</v>
      </c>
      <c r="D2662" s="3" t="s">
        <v>2414</v>
      </c>
    </row>
    <row r="2663" spans="1:4" ht="24.75" customHeight="1">
      <c r="A2663" s="3" t="str">
        <f>"34892021110309015437466"</f>
        <v>34892021110309015437466</v>
      </c>
      <c r="B2663" s="3" t="s">
        <v>2411</v>
      </c>
      <c r="C2663" s="3" t="str">
        <f>"林方玉"</f>
        <v>林方玉</v>
      </c>
      <c r="D2663" s="3" t="s">
        <v>2415</v>
      </c>
    </row>
    <row r="2664" spans="1:4" ht="24.75" customHeight="1">
      <c r="A2664" s="3" t="str">
        <f>"34892021110309021237472"</f>
        <v>34892021110309021237472</v>
      </c>
      <c r="B2664" s="3" t="s">
        <v>2411</v>
      </c>
      <c r="C2664" s="3" t="str">
        <f>"陈燕"</f>
        <v>陈燕</v>
      </c>
      <c r="D2664" s="3" t="s">
        <v>723</v>
      </c>
    </row>
    <row r="2665" spans="1:4" ht="24.75" customHeight="1">
      <c r="A2665" s="3" t="str">
        <f>"34892021110309115037573"</f>
        <v>34892021110309115037573</v>
      </c>
      <c r="B2665" s="3" t="s">
        <v>2411</v>
      </c>
      <c r="C2665" s="3" t="str">
        <f>"陈文豪"</f>
        <v>陈文豪</v>
      </c>
      <c r="D2665" s="3" t="s">
        <v>2416</v>
      </c>
    </row>
    <row r="2666" spans="1:4" ht="24.75" customHeight="1">
      <c r="A2666" s="3" t="str">
        <f>"34892021110309123337584"</f>
        <v>34892021110309123337584</v>
      </c>
      <c r="B2666" s="3" t="s">
        <v>2411</v>
      </c>
      <c r="C2666" s="3" t="str">
        <f>"赵泽悦"</f>
        <v>赵泽悦</v>
      </c>
      <c r="D2666" s="3" t="s">
        <v>2417</v>
      </c>
    </row>
    <row r="2667" spans="1:4" ht="24.75" customHeight="1">
      <c r="A2667" s="3" t="str">
        <f>"34892021110309162037614"</f>
        <v>34892021110309162037614</v>
      </c>
      <c r="B2667" s="3" t="s">
        <v>2411</v>
      </c>
      <c r="C2667" s="3" t="str">
        <f>"赵文婧"</f>
        <v>赵文婧</v>
      </c>
      <c r="D2667" s="3" t="s">
        <v>2031</v>
      </c>
    </row>
    <row r="2668" spans="1:4" ht="24.75" customHeight="1">
      <c r="A2668" s="3" t="str">
        <f>"34892021110309164337616"</f>
        <v>34892021110309164337616</v>
      </c>
      <c r="B2668" s="3" t="s">
        <v>2411</v>
      </c>
      <c r="C2668" s="3" t="str">
        <f>"蒙清华"</f>
        <v>蒙清华</v>
      </c>
      <c r="D2668" s="3" t="s">
        <v>2418</v>
      </c>
    </row>
    <row r="2669" spans="1:4" ht="24.75" customHeight="1">
      <c r="A2669" s="3" t="str">
        <f>"34892021110309251837703"</f>
        <v>34892021110309251837703</v>
      </c>
      <c r="B2669" s="3" t="s">
        <v>2411</v>
      </c>
      <c r="C2669" s="3" t="str">
        <f>"郑新立"</f>
        <v>郑新立</v>
      </c>
      <c r="D2669" s="3" t="s">
        <v>2419</v>
      </c>
    </row>
    <row r="2670" spans="1:4" ht="24.75" customHeight="1">
      <c r="A2670" s="3" t="str">
        <f>"34892021110309253137707"</f>
        <v>34892021110309253137707</v>
      </c>
      <c r="B2670" s="3" t="s">
        <v>2411</v>
      </c>
      <c r="C2670" s="3" t="str">
        <f>"夏誉森"</f>
        <v>夏誉森</v>
      </c>
      <c r="D2670" s="3" t="s">
        <v>2371</v>
      </c>
    </row>
    <row r="2671" spans="1:4" ht="24.75" customHeight="1">
      <c r="A2671" s="3" t="str">
        <f>"34892021110309285037743"</f>
        <v>34892021110309285037743</v>
      </c>
      <c r="B2671" s="3" t="s">
        <v>2411</v>
      </c>
      <c r="C2671" s="3" t="str">
        <f>"陈太鹏"</f>
        <v>陈太鹏</v>
      </c>
      <c r="D2671" s="3" t="s">
        <v>2420</v>
      </c>
    </row>
    <row r="2672" spans="1:4" ht="24.75" customHeight="1">
      <c r="A2672" s="3" t="str">
        <f>"34892021110309363437819"</f>
        <v>34892021110309363437819</v>
      </c>
      <c r="B2672" s="3" t="s">
        <v>2411</v>
      </c>
      <c r="C2672" s="3" t="str">
        <f>"李小茜"</f>
        <v>李小茜</v>
      </c>
      <c r="D2672" s="3" t="s">
        <v>2421</v>
      </c>
    </row>
    <row r="2673" spans="1:4" ht="24.75" customHeight="1">
      <c r="A2673" s="3" t="str">
        <f>"34892021110309363637820"</f>
        <v>34892021110309363637820</v>
      </c>
      <c r="B2673" s="3" t="s">
        <v>2411</v>
      </c>
      <c r="C2673" s="3" t="str">
        <f>"吴壮"</f>
        <v>吴壮</v>
      </c>
      <c r="D2673" s="3" t="s">
        <v>1141</v>
      </c>
    </row>
    <row r="2674" spans="1:4" ht="24.75" customHeight="1">
      <c r="A2674" s="3" t="str">
        <f>"34892021110309372137825"</f>
        <v>34892021110309372137825</v>
      </c>
      <c r="B2674" s="3" t="s">
        <v>2411</v>
      </c>
      <c r="C2674" s="3" t="str">
        <f>"黄昌海"</f>
        <v>黄昌海</v>
      </c>
      <c r="D2674" s="3" t="s">
        <v>2422</v>
      </c>
    </row>
    <row r="2675" spans="1:4" ht="24.75" customHeight="1">
      <c r="A2675" s="3" t="str">
        <f>"34892021110309374437828"</f>
        <v>34892021110309374437828</v>
      </c>
      <c r="B2675" s="3" t="s">
        <v>2411</v>
      </c>
      <c r="C2675" s="3" t="str">
        <f>"李钖"</f>
        <v>李钖</v>
      </c>
      <c r="D2675" s="3" t="s">
        <v>2423</v>
      </c>
    </row>
    <row r="2676" spans="1:4" ht="24.75" customHeight="1">
      <c r="A2676" s="3" t="str">
        <f>"34892021110309520637952"</f>
        <v>34892021110309520637952</v>
      </c>
      <c r="B2676" s="3" t="s">
        <v>2411</v>
      </c>
      <c r="C2676" s="3" t="str">
        <f>"李瑞明"</f>
        <v>李瑞明</v>
      </c>
      <c r="D2676" s="3" t="s">
        <v>2424</v>
      </c>
    </row>
    <row r="2677" spans="1:4" ht="24.75" customHeight="1">
      <c r="A2677" s="3" t="str">
        <f>"34892021110310051038080"</f>
        <v>34892021110310051038080</v>
      </c>
      <c r="B2677" s="3" t="s">
        <v>2411</v>
      </c>
      <c r="C2677" s="3" t="str">
        <f>"汤锡赛"</f>
        <v>汤锡赛</v>
      </c>
      <c r="D2677" s="3" t="s">
        <v>2425</v>
      </c>
    </row>
    <row r="2678" spans="1:4" ht="24.75" customHeight="1">
      <c r="A2678" s="3" t="str">
        <f>"34892021110310073238108"</f>
        <v>34892021110310073238108</v>
      </c>
      <c r="B2678" s="3" t="s">
        <v>2411</v>
      </c>
      <c r="C2678" s="3" t="str">
        <f>"薛选金"</f>
        <v>薛选金</v>
      </c>
      <c r="D2678" s="3" t="s">
        <v>2426</v>
      </c>
    </row>
    <row r="2679" spans="1:4" ht="24.75" customHeight="1">
      <c r="A2679" s="3" t="str">
        <f>"34892021110310082538116"</f>
        <v>34892021110310082538116</v>
      </c>
      <c r="B2679" s="3" t="s">
        <v>2411</v>
      </c>
      <c r="C2679" s="3" t="str">
        <f>"吴乾超"</f>
        <v>吴乾超</v>
      </c>
      <c r="D2679" s="3" t="s">
        <v>2427</v>
      </c>
    </row>
    <row r="2680" spans="1:4" ht="24.75" customHeight="1">
      <c r="A2680" s="3" t="str">
        <f>"34892021110310092738130"</f>
        <v>34892021110310092738130</v>
      </c>
      <c r="B2680" s="3" t="s">
        <v>2411</v>
      </c>
      <c r="C2680" s="3" t="str">
        <f>"薛良华"</f>
        <v>薛良华</v>
      </c>
      <c r="D2680" s="3" t="s">
        <v>2428</v>
      </c>
    </row>
    <row r="2681" spans="1:4" ht="24.75" customHeight="1">
      <c r="A2681" s="3" t="str">
        <f>"34892021110310112738145"</f>
        <v>34892021110310112738145</v>
      </c>
      <c r="B2681" s="3" t="s">
        <v>2411</v>
      </c>
      <c r="C2681" s="3" t="str">
        <f>"符士坚"</f>
        <v>符士坚</v>
      </c>
      <c r="D2681" s="3" t="s">
        <v>2429</v>
      </c>
    </row>
    <row r="2682" spans="1:4" ht="24.75" customHeight="1">
      <c r="A2682" s="3" t="str">
        <f>"34892021110310131038167"</f>
        <v>34892021110310131038167</v>
      </c>
      <c r="B2682" s="3" t="s">
        <v>2411</v>
      </c>
      <c r="C2682" s="3" t="str">
        <f>"杨达新"</f>
        <v>杨达新</v>
      </c>
      <c r="D2682" s="3" t="s">
        <v>2430</v>
      </c>
    </row>
    <row r="2683" spans="1:4" ht="24.75" customHeight="1">
      <c r="A2683" s="3" t="str">
        <f>"34892021110310162938197"</f>
        <v>34892021110310162938197</v>
      </c>
      <c r="B2683" s="3" t="s">
        <v>2411</v>
      </c>
      <c r="C2683" s="3" t="str">
        <f>"王颖"</f>
        <v>王颖</v>
      </c>
      <c r="D2683" s="3" t="s">
        <v>2431</v>
      </c>
    </row>
    <row r="2684" spans="1:4" ht="24.75" customHeight="1">
      <c r="A2684" s="3" t="str">
        <f>"34892021110310303838324"</f>
        <v>34892021110310303838324</v>
      </c>
      <c r="B2684" s="3" t="s">
        <v>2411</v>
      </c>
      <c r="C2684" s="3" t="str">
        <f>"邱名骞"</f>
        <v>邱名骞</v>
      </c>
      <c r="D2684" s="3" t="s">
        <v>2432</v>
      </c>
    </row>
    <row r="2685" spans="1:4" ht="24.75" customHeight="1">
      <c r="A2685" s="3" t="str">
        <f>"34892021110310343138363"</f>
        <v>34892021110310343138363</v>
      </c>
      <c r="B2685" s="3" t="s">
        <v>2411</v>
      </c>
      <c r="C2685" s="3" t="str">
        <f>"吴至榜"</f>
        <v>吴至榜</v>
      </c>
      <c r="D2685" s="3" t="s">
        <v>2433</v>
      </c>
    </row>
    <row r="2686" spans="1:4" ht="24.75" customHeight="1">
      <c r="A2686" s="3" t="str">
        <f>"34892021110310410138421"</f>
        <v>34892021110310410138421</v>
      </c>
      <c r="B2686" s="3" t="s">
        <v>2411</v>
      </c>
      <c r="C2686" s="3" t="str">
        <f>"许俊宏"</f>
        <v>许俊宏</v>
      </c>
      <c r="D2686" s="3" t="s">
        <v>2434</v>
      </c>
    </row>
    <row r="2687" spans="1:4" ht="24.75" customHeight="1">
      <c r="A2687" s="3" t="str">
        <f>"34892021110310491438500"</f>
        <v>34892021110310491438500</v>
      </c>
      <c r="B2687" s="3" t="s">
        <v>2411</v>
      </c>
      <c r="C2687" s="3" t="str">
        <f>"林敏亮"</f>
        <v>林敏亮</v>
      </c>
      <c r="D2687" s="3" t="s">
        <v>220</v>
      </c>
    </row>
    <row r="2688" spans="1:4" ht="24.75" customHeight="1">
      <c r="A2688" s="3" t="str">
        <f>"34892021110310541338545"</f>
        <v>34892021110310541338545</v>
      </c>
      <c r="B2688" s="3" t="s">
        <v>2411</v>
      </c>
      <c r="C2688" s="3" t="str">
        <f>"张东豪"</f>
        <v>张东豪</v>
      </c>
      <c r="D2688" s="3" t="s">
        <v>2435</v>
      </c>
    </row>
    <row r="2689" spans="1:4" ht="24.75" customHeight="1">
      <c r="A2689" s="3" t="str">
        <f>"34892021110310551238552"</f>
        <v>34892021110310551238552</v>
      </c>
      <c r="B2689" s="3" t="s">
        <v>2411</v>
      </c>
      <c r="C2689" s="3" t="str">
        <f>"陈旭龙"</f>
        <v>陈旭龙</v>
      </c>
      <c r="D2689" s="3" t="s">
        <v>2436</v>
      </c>
    </row>
    <row r="2690" spans="1:4" ht="24.75" customHeight="1">
      <c r="A2690" s="3" t="str">
        <f>"34892021110311020338606"</f>
        <v>34892021110311020338606</v>
      </c>
      <c r="B2690" s="3" t="s">
        <v>2411</v>
      </c>
      <c r="C2690" s="3" t="str">
        <f>"谢学高"</f>
        <v>谢学高</v>
      </c>
      <c r="D2690" s="3" t="s">
        <v>1939</v>
      </c>
    </row>
    <row r="2691" spans="1:4" ht="24.75" customHeight="1">
      <c r="A2691" s="3" t="str">
        <f>"34892021110311024638608"</f>
        <v>34892021110311024638608</v>
      </c>
      <c r="B2691" s="3" t="s">
        <v>2411</v>
      </c>
      <c r="C2691" s="3" t="str">
        <f>"苏雨婷"</f>
        <v>苏雨婷</v>
      </c>
      <c r="D2691" s="3" t="s">
        <v>2437</v>
      </c>
    </row>
    <row r="2692" spans="1:4" ht="24.75" customHeight="1">
      <c r="A2692" s="3" t="str">
        <f>"34892021110311040838620"</f>
        <v>34892021110311040838620</v>
      </c>
      <c r="B2692" s="3" t="s">
        <v>2411</v>
      </c>
      <c r="C2692" s="3" t="str">
        <f>"袁名金"</f>
        <v>袁名金</v>
      </c>
      <c r="D2692" s="3" t="s">
        <v>2438</v>
      </c>
    </row>
    <row r="2693" spans="1:4" ht="24.75" customHeight="1">
      <c r="A2693" s="3" t="str">
        <f>"34892021110311074838646"</f>
        <v>34892021110311074838646</v>
      </c>
      <c r="B2693" s="3" t="s">
        <v>2411</v>
      </c>
      <c r="C2693" s="3" t="str">
        <f>"周贞莲"</f>
        <v>周贞莲</v>
      </c>
      <c r="D2693" s="3" t="s">
        <v>1880</v>
      </c>
    </row>
    <row r="2694" spans="1:4" ht="24.75" customHeight="1">
      <c r="A2694" s="3" t="str">
        <f>"34892021110311213338737"</f>
        <v>34892021110311213338737</v>
      </c>
      <c r="B2694" s="3" t="s">
        <v>2411</v>
      </c>
      <c r="C2694" s="3" t="str">
        <f>"刘其展"</f>
        <v>刘其展</v>
      </c>
      <c r="D2694" s="3" t="s">
        <v>1790</v>
      </c>
    </row>
    <row r="2695" spans="1:4" ht="24.75" customHeight="1">
      <c r="A2695" s="3" t="str">
        <f>"34892021110311243038768"</f>
        <v>34892021110311243038768</v>
      </c>
      <c r="B2695" s="3" t="s">
        <v>2411</v>
      </c>
      <c r="C2695" s="3" t="str">
        <f>"符式学"</f>
        <v>符式学</v>
      </c>
      <c r="D2695" s="3" t="s">
        <v>2439</v>
      </c>
    </row>
    <row r="2696" spans="1:4" ht="24.75" customHeight="1">
      <c r="A2696" s="3" t="str">
        <f>"34892021110311392438880"</f>
        <v>34892021110311392438880</v>
      </c>
      <c r="B2696" s="3" t="s">
        <v>2411</v>
      </c>
      <c r="C2696" s="3" t="str">
        <f>"林信文"</f>
        <v>林信文</v>
      </c>
      <c r="D2696" s="3" t="s">
        <v>2440</v>
      </c>
    </row>
    <row r="2697" spans="1:4" ht="24.75" customHeight="1">
      <c r="A2697" s="3" t="str">
        <f>"34892021110311394138883"</f>
        <v>34892021110311394138883</v>
      </c>
      <c r="B2697" s="3" t="s">
        <v>2411</v>
      </c>
      <c r="C2697" s="3" t="str">
        <f>"吴清海"</f>
        <v>吴清海</v>
      </c>
      <c r="D2697" s="3" t="s">
        <v>2441</v>
      </c>
    </row>
    <row r="2698" spans="1:4" ht="24.75" customHeight="1">
      <c r="A2698" s="3" t="str">
        <f>"34892021110311515438965"</f>
        <v>34892021110311515438965</v>
      </c>
      <c r="B2698" s="3" t="s">
        <v>2411</v>
      </c>
      <c r="C2698" s="3" t="str">
        <f>"周俊杰"</f>
        <v>周俊杰</v>
      </c>
      <c r="D2698" s="3" t="s">
        <v>764</v>
      </c>
    </row>
    <row r="2699" spans="1:4" ht="24.75" customHeight="1">
      <c r="A2699" s="3" t="str">
        <f>"34892021110311551538979"</f>
        <v>34892021110311551538979</v>
      </c>
      <c r="B2699" s="3" t="s">
        <v>2411</v>
      </c>
      <c r="C2699" s="3" t="str">
        <f>"林斯辉"</f>
        <v>林斯辉</v>
      </c>
      <c r="D2699" s="3" t="s">
        <v>1892</v>
      </c>
    </row>
    <row r="2700" spans="1:4" ht="24.75" customHeight="1">
      <c r="A2700" s="3" t="str">
        <f>"34892021110312053939035"</f>
        <v>34892021110312053939035</v>
      </c>
      <c r="B2700" s="3" t="s">
        <v>2411</v>
      </c>
      <c r="C2700" s="3" t="str">
        <f>"李文多"</f>
        <v>李文多</v>
      </c>
      <c r="D2700" s="3" t="s">
        <v>2442</v>
      </c>
    </row>
    <row r="2701" spans="1:4" ht="24.75" customHeight="1">
      <c r="A2701" s="3" t="str">
        <f>"34892021110312134839080"</f>
        <v>34892021110312134839080</v>
      </c>
      <c r="B2701" s="3" t="s">
        <v>2411</v>
      </c>
      <c r="C2701" s="3" t="str">
        <f>"林超超"</f>
        <v>林超超</v>
      </c>
      <c r="D2701" s="3" t="s">
        <v>1030</v>
      </c>
    </row>
    <row r="2702" spans="1:4" ht="24.75" customHeight="1">
      <c r="A2702" s="3" t="str">
        <f>"34892021110312371639230"</f>
        <v>34892021110312371639230</v>
      </c>
      <c r="B2702" s="3" t="s">
        <v>2411</v>
      </c>
      <c r="C2702" s="3" t="str">
        <f>"王鸿霜"</f>
        <v>王鸿霜</v>
      </c>
      <c r="D2702" s="3" t="s">
        <v>1758</v>
      </c>
    </row>
    <row r="2703" spans="1:4" ht="24.75" customHeight="1">
      <c r="A2703" s="3" t="str">
        <f>"34892021110312542839339"</f>
        <v>34892021110312542839339</v>
      </c>
      <c r="B2703" s="3" t="s">
        <v>2411</v>
      </c>
      <c r="C2703" s="3" t="str">
        <f>"王运仙"</f>
        <v>王运仙</v>
      </c>
      <c r="D2703" s="3" t="s">
        <v>1109</v>
      </c>
    </row>
    <row r="2704" spans="1:4" ht="24.75" customHeight="1">
      <c r="A2704" s="3" t="str">
        <f>"34892021110313041739396"</f>
        <v>34892021110313041739396</v>
      </c>
      <c r="B2704" s="3" t="s">
        <v>2411</v>
      </c>
      <c r="C2704" s="3" t="str">
        <f>"周忠喜"</f>
        <v>周忠喜</v>
      </c>
      <c r="D2704" s="3" t="s">
        <v>2443</v>
      </c>
    </row>
    <row r="2705" spans="1:4" ht="24.75" customHeight="1">
      <c r="A2705" s="3" t="str">
        <f>"34892021110313110239451"</f>
        <v>34892021110313110239451</v>
      </c>
      <c r="B2705" s="3" t="s">
        <v>2411</v>
      </c>
      <c r="C2705" s="3" t="str">
        <f>"陈彰俊"</f>
        <v>陈彰俊</v>
      </c>
      <c r="D2705" s="3" t="s">
        <v>2444</v>
      </c>
    </row>
    <row r="2706" spans="1:4" ht="24.75" customHeight="1">
      <c r="A2706" s="3" t="str">
        <f>"34892021110313331539583"</f>
        <v>34892021110313331539583</v>
      </c>
      <c r="B2706" s="3" t="s">
        <v>2411</v>
      </c>
      <c r="C2706" s="3" t="str">
        <f>"王大彬"</f>
        <v>王大彬</v>
      </c>
      <c r="D2706" s="3" t="s">
        <v>2445</v>
      </c>
    </row>
    <row r="2707" spans="1:4" ht="24.75" customHeight="1">
      <c r="A2707" s="3" t="str">
        <f>"34892021110313460739653"</f>
        <v>34892021110313460739653</v>
      </c>
      <c r="B2707" s="3" t="s">
        <v>2411</v>
      </c>
      <c r="C2707" s="3" t="str">
        <f>"周世仕"</f>
        <v>周世仕</v>
      </c>
      <c r="D2707" s="3" t="s">
        <v>2446</v>
      </c>
    </row>
    <row r="2708" spans="1:4" ht="24.75" customHeight="1">
      <c r="A2708" s="3" t="str">
        <f>"34892021110314031339728"</f>
        <v>34892021110314031339728</v>
      </c>
      <c r="B2708" s="3" t="s">
        <v>2411</v>
      </c>
      <c r="C2708" s="3" t="str">
        <f>"梁振储"</f>
        <v>梁振储</v>
      </c>
      <c r="D2708" s="3" t="s">
        <v>2447</v>
      </c>
    </row>
    <row r="2709" spans="1:4" ht="24.75" customHeight="1">
      <c r="A2709" s="3" t="str">
        <f>"34892021110314062739743"</f>
        <v>34892021110314062739743</v>
      </c>
      <c r="B2709" s="3" t="s">
        <v>2411</v>
      </c>
      <c r="C2709" s="3" t="str">
        <f>"冯雪莲"</f>
        <v>冯雪莲</v>
      </c>
      <c r="D2709" s="3" t="s">
        <v>2448</v>
      </c>
    </row>
    <row r="2710" spans="1:4" ht="24.75" customHeight="1">
      <c r="A2710" s="3" t="str">
        <f>"34892021110314412339968"</f>
        <v>34892021110314412339968</v>
      </c>
      <c r="B2710" s="3" t="s">
        <v>2411</v>
      </c>
      <c r="C2710" s="3" t="str">
        <f>"冯秀娜"</f>
        <v>冯秀娜</v>
      </c>
      <c r="D2710" s="3" t="s">
        <v>2449</v>
      </c>
    </row>
    <row r="2711" spans="1:4" ht="24.75" customHeight="1">
      <c r="A2711" s="3" t="str">
        <f>"34892021110314460240008"</f>
        <v>34892021110314460240008</v>
      </c>
      <c r="B2711" s="3" t="s">
        <v>2411</v>
      </c>
      <c r="C2711" s="3" t="str">
        <f>"黄小婕"</f>
        <v>黄小婕</v>
      </c>
      <c r="D2711" s="3" t="s">
        <v>2450</v>
      </c>
    </row>
    <row r="2712" spans="1:4" ht="24.75" customHeight="1">
      <c r="A2712" s="3" t="str">
        <f>"34892021110314482440021"</f>
        <v>34892021110314482440021</v>
      </c>
      <c r="B2712" s="3" t="s">
        <v>2411</v>
      </c>
      <c r="C2712" s="3" t="str">
        <f>"郭占芳"</f>
        <v>郭占芳</v>
      </c>
      <c r="D2712" s="3" t="s">
        <v>2451</v>
      </c>
    </row>
    <row r="2713" spans="1:4" ht="24.75" customHeight="1">
      <c r="A2713" s="3" t="str">
        <f>"34892021110315073240186"</f>
        <v>34892021110315073240186</v>
      </c>
      <c r="B2713" s="3" t="s">
        <v>2411</v>
      </c>
      <c r="C2713" s="3" t="str">
        <f>"梅国英"</f>
        <v>梅国英</v>
      </c>
      <c r="D2713" s="3" t="s">
        <v>2452</v>
      </c>
    </row>
    <row r="2714" spans="1:4" ht="24.75" customHeight="1">
      <c r="A2714" s="3" t="str">
        <f>"34892021110315133840233"</f>
        <v>34892021110315133840233</v>
      </c>
      <c r="B2714" s="3" t="s">
        <v>2411</v>
      </c>
      <c r="C2714" s="3" t="str">
        <f>"陈远杰"</f>
        <v>陈远杰</v>
      </c>
      <c r="D2714" s="3" t="s">
        <v>2453</v>
      </c>
    </row>
    <row r="2715" spans="1:4" ht="24.75" customHeight="1">
      <c r="A2715" s="3" t="str">
        <f>"34892021110315202740295"</f>
        <v>34892021110315202740295</v>
      </c>
      <c r="B2715" s="3" t="s">
        <v>2411</v>
      </c>
      <c r="C2715" s="3" t="str">
        <f>"冯宝"</f>
        <v>冯宝</v>
      </c>
      <c r="D2715" s="3" t="s">
        <v>386</v>
      </c>
    </row>
    <row r="2716" spans="1:4" ht="24.75" customHeight="1">
      <c r="A2716" s="3" t="str">
        <f>"34892021110315212540303"</f>
        <v>34892021110315212540303</v>
      </c>
      <c r="B2716" s="3" t="s">
        <v>2411</v>
      </c>
      <c r="C2716" s="3" t="str">
        <f>"李馨婉"</f>
        <v>李馨婉</v>
      </c>
      <c r="D2716" s="3" t="s">
        <v>2454</v>
      </c>
    </row>
    <row r="2717" spans="1:4" ht="24.75" customHeight="1">
      <c r="A2717" s="3" t="str">
        <f>"34892021110315575040566"</f>
        <v>34892021110315575040566</v>
      </c>
      <c r="B2717" s="3" t="s">
        <v>2411</v>
      </c>
      <c r="C2717" s="3" t="str">
        <f>"王首坤"</f>
        <v>王首坤</v>
      </c>
      <c r="D2717" s="3" t="s">
        <v>2455</v>
      </c>
    </row>
    <row r="2718" spans="1:4" ht="24.75" customHeight="1">
      <c r="A2718" s="3" t="str">
        <f>"34892021110316053940627"</f>
        <v>34892021110316053940627</v>
      </c>
      <c r="B2718" s="3" t="s">
        <v>2411</v>
      </c>
      <c r="C2718" s="3" t="str">
        <f>"徐济斌"</f>
        <v>徐济斌</v>
      </c>
      <c r="D2718" s="3" t="s">
        <v>2456</v>
      </c>
    </row>
    <row r="2719" spans="1:4" ht="24.75" customHeight="1">
      <c r="A2719" s="3" t="str">
        <f>"34892021110316211340752"</f>
        <v>34892021110316211340752</v>
      </c>
      <c r="B2719" s="3" t="s">
        <v>2411</v>
      </c>
      <c r="C2719" s="3" t="str">
        <f>"符风春"</f>
        <v>符风春</v>
      </c>
      <c r="D2719" s="3" t="s">
        <v>2457</v>
      </c>
    </row>
    <row r="2720" spans="1:4" ht="24.75" customHeight="1">
      <c r="A2720" s="3" t="str">
        <f>"34892021110316211640753"</f>
        <v>34892021110316211640753</v>
      </c>
      <c r="B2720" s="3" t="s">
        <v>2411</v>
      </c>
      <c r="C2720" s="3" t="str">
        <f>"杨泽宽"</f>
        <v>杨泽宽</v>
      </c>
      <c r="D2720" s="3" t="s">
        <v>2458</v>
      </c>
    </row>
    <row r="2721" spans="1:4" ht="24.75" customHeight="1">
      <c r="A2721" s="3" t="str">
        <f>"34892021110316251640785"</f>
        <v>34892021110316251640785</v>
      </c>
      <c r="B2721" s="3" t="s">
        <v>2411</v>
      </c>
      <c r="C2721" s="3" t="str">
        <f>"周冰寒"</f>
        <v>周冰寒</v>
      </c>
      <c r="D2721" s="3" t="s">
        <v>194</v>
      </c>
    </row>
    <row r="2722" spans="1:4" ht="24.75" customHeight="1">
      <c r="A2722" s="3" t="str">
        <f>"34892021110316350140850"</f>
        <v>34892021110316350140850</v>
      </c>
      <c r="B2722" s="3" t="s">
        <v>2411</v>
      </c>
      <c r="C2722" s="3" t="str">
        <f>"王淑敏"</f>
        <v>王淑敏</v>
      </c>
      <c r="D2722" s="3" t="s">
        <v>2459</v>
      </c>
    </row>
    <row r="2723" spans="1:4" ht="24.75" customHeight="1">
      <c r="A2723" s="3" t="str">
        <f>"34892021110317025241020"</f>
        <v>34892021110317025241020</v>
      </c>
      <c r="B2723" s="3" t="s">
        <v>2411</v>
      </c>
      <c r="C2723" s="3" t="str">
        <f>"周小春"</f>
        <v>周小春</v>
      </c>
      <c r="D2723" s="3" t="s">
        <v>2460</v>
      </c>
    </row>
    <row r="2724" spans="1:4" ht="24.75" customHeight="1">
      <c r="A2724" s="3" t="str">
        <f>"34892021110317065241049"</f>
        <v>34892021110317065241049</v>
      </c>
      <c r="B2724" s="3" t="s">
        <v>2411</v>
      </c>
      <c r="C2724" s="3" t="str">
        <f>"符育铭"</f>
        <v>符育铭</v>
      </c>
      <c r="D2724" s="3" t="s">
        <v>2461</v>
      </c>
    </row>
    <row r="2725" spans="1:4" ht="24.75" customHeight="1">
      <c r="A2725" s="3" t="str">
        <f>"34892021110317104141064"</f>
        <v>34892021110317104141064</v>
      </c>
      <c r="B2725" s="3" t="s">
        <v>2411</v>
      </c>
      <c r="C2725" s="3" t="str">
        <f>"王玉昆"</f>
        <v>王玉昆</v>
      </c>
      <c r="D2725" s="3" t="s">
        <v>2462</v>
      </c>
    </row>
    <row r="2726" spans="1:4" ht="24.75" customHeight="1">
      <c r="A2726" s="3" t="str">
        <f>"34892021110317254741147"</f>
        <v>34892021110317254741147</v>
      </c>
      <c r="B2726" s="3" t="s">
        <v>2411</v>
      </c>
      <c r="C2726" s="3" t="str">
        <f>"陈伟龙"</f>
        <v>陈伟龙</v>
      </c>
      <c r="D2726" s="3" t="s">
        <v>2463</v>
      </c>
    </row>
    <row r="2727" spans="1:4" ht="24.75" customHeight="1">
      <c r="A2727" s="3" t="str">
        <f>"34892021110318064841253"</f>
        <v>34892021110318064841253</v>
      </c>
      <c r="B2727" s="3" t="s">
        <v>2411</v>
      </c>
      <c r="C2727" s="3" t="str">
        <f>"何月玲"</f>
        <v>何月玲</v>
      </c>
      <c r="D2727" s="3" t="s">
        <v>2464</v>
      </c>
    </row>
    <row r="2728" spans="1:4" ht="24.75" customHeight="1">
      <c r="A2728" s="3" t="str">
        <f>"34892021110318122241269"</f>
        <v>34892021110318122241269</v>
      </c>
      <c r="B2728" s="3" t="s">
        <v>2411</v>
      </c>
      <c r="C2728" s="3" t="str">
        <f>"黎学武"</f>
        <v>黎学武</v>
      </c>
      <c r="D2728" s="3" t="s">
        <v>2465</v>
      </c>
    </row>
    <row r="2729" spans="1:4" ht="24.75" customHeight="1">
      <c r="A2729" s="3" t="str">
        <f>"34892021110319110641396"</f>
        <v>34892021110319110641396</v>
      </c>
      <c r="B2729" s="3" t="s">
        <v>2411</v>
      </c>
      <c r="C2729" s="3" t="str">
        <f>"王本立"</f>
        <v>王本立</v>
      </c>
      <c r="D2729" s="3" t="s">
        <v>2466</v>
      </c>
    </row>
    <row r="2730" spans="1:4" ht="24.75" customHeight="1">
      <c r="A2730" s="3" t="str">
        <f>"34892021110319154841403"</f>
        <v>34892021110319154841403</v>
      </c>
      <c r="B2730" s="3" t="s">
        <v>2411</v>
      </c>
      <c r="C2730" s="3" t="str">
        <f>"阮子洋"</f>
        <v>阮子洋</v>
      </c>
      <c r="D2730" s="3" t="s">
        <v>2467</v>
      </c>
    </row>
    <row r="2731" spans="1:4" ht="24.75" customHeight="1">
      <c r="A2731" s="3" t="str">
        <f>"34892021110319171441410"</f>
        <v>34892021110319171441410</v>
      </c>
      <c r="B2731" s="3" t="s">
        <v>2411</v>
      </c>
      <c r="C2731" s="3" t="str">
        <f>"王源"</f>
        <v>王源</v>
      </c>
      <c r="D2731" s="3" t="s">
        <v>2468</v>
      </c>
    </row>
    <row r="2732" spans="1:4" ht="24.75" customHeight="1">
      <c r="A2732" s="3" t="str">
        <f>"34892021110320322341618"</f>
        <v>34892021110320322341618</v>
      </c>
      <c r="B2732" s="3" t="s">
        <v>2411</v>
      </c>
      <c r="C2732" s="3" t="str">
        <f>"林义雄"</f>
        <v>林义雄</v>
      </c>
      <c r="D2732" s="3" t="s">
        <v>2423</v>
      </c>
    </row>
    <row r="2733" spans="1:4" ht="24.75" customHeight="1">
      <c r="A2733" s="3" t="str">
        <f>"34892021110320393641640"</f>
        <v>34892021110320393641640</v>
      </c>
      <c r="B2733" s="3" t="s">
        <v>2411</v>
      </c>
      <c r="C2733" s="3" t="str">
        <f>"王录松"</f>
        <v>王录松</v>
      </c>
      <c r="D2733" s="3" t="s">
        <v>2469</v>
      </c>
    </row>
    <row r="2734" spans="1:4" ht="24.75" customHeight="1">
      <c r="A2734" s="3" t="str">
        <f>"34892021110321010141710"</f>
        <v>34892021110321010141710</v>
      </c>
      <c r="B2734" s="3" t="s">
        <v>2411</v>
      </c>
      <c r="C2734" s="3" t="str">
        <f>"符芳维"</f>
        <v>符芳维</v>
      </c>
      <c r="D2734" s="3" t="s">
        <v>2470</v>
      </c>
    </row>
    <row r="2735" spans="1:4" ht="24.75" customHeight="1">
      <c r="A2735" s="3" t="str">
        <f>"34892021110321231741780"</f>
        <v>34892021110321231741780</v>
      </c>
      <c r="B2735" s="3" t="s">
        <v>2411</v>
      </c>
      <c r="C2735" s="3" t="str">
        <f>"陈贤龙"</f>
        <v>陈贤龙</v>
      </c>
      <c r="D2735" s="3" t="s">
        <v>2471</v>
      </c>
    </row>
    <row r="2736" spans="1:4" ht="24.75" customHeight="1">
      <c r="A2736" s="3" t="str">
        <f>"34892021110321322241813"</f>
        <v>34892021110321322241813</v>
      </c>
      <c r="B2736" s="3" t="s">
        <v>2411</v>
      </c>
      <c r="C2736" s="3" t="str">
        <f>"王小红"</f>
        <v>王小红</v>
      </c>
      <c r="D2736" s="3" t="s">
        <v>2472</v>
      </c>
    </row>
    <row r="2737" spans="1:4" ht="24.75" customHeight="1">
      <c r="A2737" s="3" t="str">
        <f>"34892021110321383341829"</f>
        <v>34892021110321383341829</v>
      </c>
      <c r="B2737" s="3" t="s">
        <v>2411</v>
      </c>
      <c r="C2737" s="3" t="str">
        <f>"吴晓倩"</f>
        <v>吴晓倩</v>
      </c>
      <c r="D2737" s="3" t="s">
        <v>2473</v>
      </c>
    </row>
    <row r="2738" spans="1:4" ht="24.75" customHeight="1">
      <c r="A2738" s="3" t="str">
        <f>"34892021110321454041854"</f>
        <v>34892021110321454041854</v>
      </c>
      <c r="B2738" s="3" t="s">
        <v>2411</v>
      </c>
      <c r="C2738" s="3" t="str">
        <f>"杜世霄"</f>
        <v>杜世霄</v>
      </c>
      <c r="D2738" s="3" t="s">
        <v>2474</v>
      </c>
    </row>
    <row r="2739" spans="1:4" ht="24.75" customHeight="1">
      <c r="A2739" s="3" t="str">
        <f>"34892021110321552941890"</f>
        <v>34892021110321552941890</v>
      </c>
      <c r="B2739" s="3" t="s">
        <v>2411</v>
      </c>
      <c r="C2739" s="3" t="str">
        <f>"王晶"</f>
        <v>王晶</v>
      </c>
      <c r="D2739" s="3" t="s">
        <v>2475</v>
      </c>
    </row>
    <row r="2740" spans="1:4" ht="24.75" customHeight="1">
      <c r="A2740" s="3" t="str">
        <f>"34892021110322040241907"</f>
        <v>34892021110322040241907</v>
      </c>
      <c r="B2740" s="3" t="s">
        <v>2411</v>
      </c>
      <c r="C2740" s="3" t="str">
        <f>"林佩"</f>
        <v>林佩</v>
      </c>
      <c r="D2740" s="3" t="s">
        <v>2476</v>
      </c>
    </row>
    <row r="2741" spans="1:4" ht="24.75" customHeight="1">
      <c r="A2741" s="3" t="str">
        <f>"34892021110322073341919"</f>
        <v>34892021110322073341919</v>
      </c>
      <c r="B2741" s="3" t="s">
        <v>2411</v>
      </c>
      <c r="C2741" s="3" t="str">
        <f>"董宝根"</f>
        <v>董宝根</v>
      </c>
      <c r="D2741" s="3" t="s">
        <v>487</v>
      </c>
    </row>
    <row r="2742" spans="1:4" ht="24.75" customHeight="1">
      <c r="A2742" s="3" t="str">
        <f>"34892021110322142841937"</f>
        <v>34892021110322142841937</v>
      </c>
      <c r="B2742" s="3" t="s">
        <v>2411</v>
      </c>
      <c r="C2742" s="3" t="str">
        <f>"王劲杨"</f>
        <v>王劲杨</v>
      </c>
      <c r="D2742" s="3" t="s">
        <v>2477</v>
      </c>
    </row>
    <row r="2743" spans="1:4" ht="24.75" customHeight="1">
      <c r="A2743" s="3" t="str">
        <f>"34892021110322191241948"</f>
        <v>34892021110322191241948</v>
      </c>
      <c r="B2743" s="3" t="s">
        <v>2411</v>
      </c>
      <c r="C2743" s="3" t="str">
        <f>"尹腾"</f>
        <v>尹腾</v>
      </c>
      <c r="D2743" s="3" t="s">
        <v>2478</v>
      </c>
    </row>
    <row r="2744" spans="1:4" ht="24.75" customHeight="1">
      <c r="A2744" s="3" t="str">
        <f>"34892021110322213341960"</f>
        <v>34892021110322213341960</v>
      </c>
      <c r="B2744" s="3" t="s">
        <v>2411</v>
      </c>
      <c r="C2744" s="3" t="str">
        <f>"黎秀强"</f>
        <v>黎秀强</v>
      </c>
      <c r="D2744" s="3" t="s">
        <v>2479</v>
      </c>
    </row>
    <row r="2745" spans="1:4" ht="24.75" customHeight="1">
      <c r="A2745" s="3" t="str">
        <f>"34892021110322360242003"</f>
        <v>34892021110322360242003</v>
      </c>
      <c r="B2745" s="3" t="s">
        <v>2411</v>
      </c>
      <c r="C2745" s="3" t="str">
        <f>"蔡崇法"</f>
        <v>蔡崇法</v>
      </c>
      <c r="D2745" s="3" t="s">
        <v>2480</v>
      </c>
    </row>
    <row r="2746" spans="1:4" ht="24.75" customHeight="1">
      <c r="A2746" s="3" t="str">
        <f>"34892021110322361642005"</f>
        <v>34892021110322361642005</v>
      </c>
      <c r="B2746" s="3" t="s">
        <v>2411</v>
      </c>
      <c r="C2746" s="3" t="str">
        <f>"王太"</f>
        <v>王太</v>
      </c>
      <c r="D2746" s="3" t="s">
        <v>2481</v>
      </c>
    </row>
    <row r="2747" spans="1:4" ht="24.75" customHeight="1">
      <c r="A2747" s="3" t="str">
        <f>"34892021110323081542088"</f>
        <v>34892021110323081542088</v>
      </c>
      <c r="B2747" s="3" t="s">
        <v>2411</v>
      </c>
      <c r="C2747" s="3" t="str">
        <f>"邢王秀"</f>
        <v>邢王秀</v>
      </c>
      <c r="D2747" s="3" t="s">
        <v>2482</v>
      </c>
    </row>
    <row r="2748" spans="1:4" ht="24.75" customHeight="1">
      <c r="A2748" s="3" t="str">
        <f>"34892021110323493442152"</f>
        <v>34892021110323493442152</v>
      </c>
      <c r="B2748" s="3" t="s">
        <v>2411</v>
      </c>
      <c r="C2748" s="3" t="str">
        <f>"蔡仁贵"</f>
        <v>蔡仁贵</v>
      </c>
      <c r="D2748" s="3" t="s">
        <v>1608</v>
      </c>
    </row>
    <row r="2749" spans="1:4" ht="24.75" customHeight="1">
      <c r="A2749" s="3" t="str">
        <f>"34892021110400480042200"</f>
        <v>34892021110400480042200</v>
      </c>
      <c r="B2749" s="3" t="s">
        <v>2411</v>
      </c>
      <c r="C2749" s="3" t="str">
        <f>"刘学嘉"</f>
        <v>刘学嘉</v>
      </c>
      <c r="D2749" s="3" t="s">
        <v>2483</v>
      </c>
    </row>
    <row r="2750" spans="1:4" ht="24.75" customHeight="1">
      <c r="A2750" s="3" t="str">
        <f>"34892021110405371342240"</f>
        <v>34892021110405371342240</v>
      </c>
      <c r="B2750" s="3" t="s">
        <v>2411</v>
      </c>
      <c r="C2750" s="3" t="str">
        <f>"吴宏运"</f>
        <v>吴宏运</v>
      </c>
      <c r="D2750" s="3" t="s">
        <v>2484</v>
      </c>
    </row>
    <row r="2751" spans="1:4" ht="24.75" customHeight="1">
      <c r="A2751" s="3" t="str">
        <f>"34892021110408030042263"</f>
        <v>34892021110408030042263</v>
      </c>
      <c r="B2751" s="3" t="s">
        <v>2411</v>
      </c>
      <c r="C2751" s="3" t="str">
        <f>"沈小玉"</f>
        <v>沈小玉</v>
      </c>
      <c r="D2751" s="3" t="s">
        <v>2485</v>
      </c>
    </row>
    <row r="2752" spans="1:4" ht="24.75" customHeight="1">
      <c r="A2752" s="3" t="str">
        <f>"34892021110408125742272"</f>
        <v>34892021110408125742272</v>
      </c>
      <c r="B2752" s="3" t="s">
        <v>2411</v>
      </c>
      <c r="C2752" s="3" t="str">
        <f>"赵飞"</f>
        <v>赵飞</v>
      </c>
      <c r="D2752" s="3" t="s">
        <v>2486</v>
      </c>
    </row>
    <row r="2753" spans="1:4" ht="24.75" customHeight="1">
      <c r="A2753" s="3" t="str">
        <f>"34892021110408525742350"</f>
        <v>34892021110408525742350</v>
      </c>
      <c r="B2753" s="3" t="s">
        <v>2411</v>
      </c>
      <c r="C2753" s="3" t="str">
        <f>"罗鸣明"</f>
        <v>罗鸣明</v>
      </c>
      <c r="D2753" s="3" t="s">
        <v>2487</v>
      </c>
    </row>
    <row r="2754" spans="1:4" ht="24.75" customHeight="1">
      <c r="A2754" s="3" t="str">
        <f>"34892021110409164442414"</f>
        <v>34892021110409164442414</v>
      </c>
      <c r="B2754" s="3" t="s">
        <v>2411</v>
      </c>
      <c r="C2754" s="3" t="str">
        <f>"陈高民"</f>
        <v>陈高民</v>
      </c>
      <c r="D2754" s="3" t="s">
        <v>2488</v>
      </c>
    </row>
    <row r="2755" spans="1:4" ht="24.75" customHeight="1">
      <c r="A2755" s="3" t="str">
        <f>"34892021110409182942422"</f>
        <v>34892021110409182942422</v>
      </c>
      <c r="B2755" s="3" t="s">
        <v>2411</v>
      </c>
      <c r="C2755" s="3" t="str">
        <f>"王小亮"</f>
        <v>王小亮</v>
      </c>
      <c r="D2755" s="3" t="s">
        <v>2489</v>
      </c>
    </row>
    <row r="2756" spans="1:4" ht="24.75" customHeight="1">
      <c r="A2756" s="3" t="str">
        <f>"34892021110409345742473"</f>
        <v>34892021110409345742473</v>
      </c>
      <c r="B2756" s="3" t="s">
        <v>2411</v>
      </c>
      <c r="C2756" s="3" t="str">
        <f>"刘静翠"</f>
        <v>刘静翠</v>
      </c>
      <c r="D2756" s="3" t="s">
        <v>2490</v>
      </c>
    </row>
    <row r="2757" spans="1:4" ht="24.75" customHeight="1">
      <c r="A2757" s="3" t="str">
        <f>"34892021110409391842484"</f>
        <v>34892021110409391842484</v>
      </c>
      <c r="B2757" s="3" t="s">
        <v>2411</v>
      </c>
      <c r="C2757" s="3" t="str">
        <f>"王清布"</f>
        <v>王清布</v>
      </c>
      <c r="D2757" s="3" t="s">
        <v>2491</v>
      </c>
    </row>
    <row r="2758" spans="1:4" ht="24.75" customHeight="1">
      <c r="A2758" s="3" t="str">
        <f>"34892021110409510442525"</f>
        <v>34892021110409510442525</v>
      </c>
      <c r="B2758" s="3" t="s">
        <v>2411</v>
      </c>
      <c r="C2758" s="3" t="str">
        <f>"姚国铭"</f>
        <v>姚国铭</v>
      </c>
      <c r="D2758" s="3" t="s">
        <v>2492</v>
      </c>
    </row>
    <row r="2759" spans="1:4" ht="24.75" customHeight="1">
      <c r="A2759" s="3" t="str">
        <f>"34892021110409574342545"</f>
        <v>34892021110409574342545</v>
      </c>
      <c r="B2759" s="3" t="s">
        <v>2411</v>
      </c>
      <c r="C2759" s="3" t="str">
        <f>"林心怡"</f>
        <v>林心怡</v>
      </c>
      <c r="D2759" s="3" t="s">
        <v>2493</v>
      </c>
    </row>
    <row r="2760" spans="1:4" ht="24.75" customHeight="1">
      <c r="A2760" s="3" t="str">
        <f>"34892021110410261042637"</f>
        <v>34892021110410261042637</v>
      </c>
      <c r="B2760" s="3" t="s">
        <v>2411</v>
      </c>
      <c r="C2760" s="3" t="str">
        <f>"李佳佳"</f>
        <v>李佳佳</v>
      </c>
      <c r="D2760" s="3" t="s">
        <v>2494</v>
      </c>
    </row>
    <row r="2761" spans="1:4" ht="24.75" customHeight="1">
      <c r="A2761" s="3" t="str">
        <f>"34892021110410380542687"</f>
        <v>34892021110410380542687</v>
      </c>
      <c r="B2761" s="3" t="s">
        <v>2411</v>
      </c>
      <c r="C2761" s="3" t="str">
        <f>"林鸿斌"</f>
        <v>林鸿斌</v>
      </c>
      <c r="D2761" s="3" t="s">
        <v>2495</v>
      </c>
    </row>
    <row r="2762" spans="1:4" ht="24.75" customHeight="1">
      <c r="A2762" s="3" t="str">
        <f>"34892021110411020542772"</f>
        <v>34892021110411020542772</v>
      </c>
      <c r="B2762" s="3" t="s">
        <v>2411</v>
      </c>
      <c r="C2762" s="3" t="str">
        <f>"苏彬"</f>
        <v>苏彬</v>
      </c>
      <c r="D2762" s="3" t="s">
        <v>2496</v>
      </c>
    </row>
    <row r="2763" spans="1:4" ht="24.75" customHeight="1">
      <c r="A2763" s="3" t="str">
        <f>"34892021110411265742855"</f>
        <v>34892021110411265742855</v>
      </c>
      <c r="B2763" s="3" t="s">
        <v>2411</v>
      </c>
      <c r="C2763" s="3" t="str">
        <f>"李才峰"</f>
        <v>李才峰</v>
      </c>
      <c r="D2763" s="3" t="s">
        <v>2497</v>
      </c>
    </row>
    <row r="2764" spans="1:4" ht="24.75" customHeight="1">
      <c r="A2764" s="3" t="str">
        <f>"34892021110411293842863"</f>
        <v>34892021110411293842863</v>
      </c>
      <c r="B2764" s="3" t="s">
        <v>2411</v>
      </c>
      <c r="C2764" s="3" t="str">
        <f>"符礼诗"</f>
        <v>符礼诗</v>
      </c>
      <c r="D2764" s="3" t="s">
        <v>2498</v>
      </c>
    </row>
    <row r="2765" spans="1:4" ht="24.75" customHeight="1">
      <c r="A2765" s="3" t="str">
        <f>"34892021110411343642873"</f>
        <v>34892021110411343642873</v>
      </c>
      <c r="B2765" s="3" t="s">
        <v>2411</v>
      </c>
      <c r="C2765" s="3" t="str">
        <f>"李君"</f>
        <v>李君</v>
      </c>
      <c r="D2765" s="3" t="s">
        <v>2499</v>
      </c>
    </row>
    <row r="2766" spans="1:4" ht="24.75" customHeight="1">
      <c r="A2766" s="3" t="str">
        <f>"34892021110412255942981"</f>
        <v>34892021110412255942981</v>
      </c>
      <c r="B2766" s="3" t="s">
        <v>2411</v>
      </c>
      <c r="C2766" s="3" t="str">
        <f>"陈庆杰"</f>
        <v>陈庆杰</v>
      </c>
      <c r="D2766" s="3" t="s">
        <v>2500</v>
      </c>
    </row>
    <row r="2767" spans="1:4" ht="24.75" customHeight="1">
      <c r="A2767" s="3" t="str">
        <f>"34892021110412280242987"</f>
        <v>34892021110412280242987</v>
      </c>
      <c r="B2767" s="3" t="s">
        <v>2411</v>
      </c>
      <c r="C2767" s="3" t="str">
        <f>"严东"</f>
        <v>严东</v>
      </c>
      <c r="D2767" s="3" t="s">
        <v>2501</v>
      </c>
    </row>
    <row r="2768" spans="1:4" ht="24.75" customHeight="1">
      <c r="A2768" s="3" t="str">
        <f>"34892021110412550643028"</f>
        <v>34892021110412550643028</v>
      </c>
      <c r="B2768" s="3" t="s">
        <v>2411</v>
      </c>
      <c r="C2768" s="3" t="str">
        <f>"李青源"</f>
        <v>李青源</v>
      </c>
      <c r="D2768" s="3" t="s">
        <v>2502</v>
      </c>
    </row>
    <row r="2769" spans="1:4" ht="24.75" customHeight="1">
      <c r="A2769" s="3" t="str">
        <f>"34892021110414395343206"</f>
        <v>34892021110414395343206</v>
      </c>
      <c r="B2769" s="3" t="s">
        <v>2411</v>
      </c>
      <c r="C2769" s="3" t="str">
        <f>"符雷"</f>
        <v>符雷</v>
      </c>
      <c r="D2769" s="3" t="s">
        <v>2503</v>
      </c>
    </row>
    <row r="2770" spans="1:4" ht="24.75" customHeight="1">
      <c r="A2770" s="3" t="str">
        <f>"34892021110414441843220"</f>
        <v>34892021110414441843220</v>
      </c>
      <c r="B2770" s="3" t="s">
        <v>2411</v>
      </c>
      <c r="C2770" s="3" t="str">
        <f>"陈唐健"</f>
        <v>陈唐健</v>
      </c>
      <c r="D2770" s="3" t="s">
        <v>2504</v>
      </c>
    </row>
    <row r="2771" spans="1:4" ht="24.75" customHeight="1">
      <c r="A2771" s="3" t="str">
        <f>"34892021110415102343278"</f>
        <v>34892021110415102343278</v>
      </c>
      <c r="B2771" s="3" t="s">
        <v>2411</v>
      </c>
      <c r="C2771" s="3" t="str">
        <f>"赖道喜"</f>
        <v>赖道喜</v>
      </c>
      <c r="D2771" s="3" t="s">
        <v>2505</v>
      </c>
    </row>
    <row r="2772" spans="1:4" ht="24.75" customHeight="1">
      <c r="A2772" s="3" t="str">
        <f>"34892021110415314443347"</f>
        <v>34892021110415314443347</v>
      </c>
      <c r="B2772" s="3" t="s">
        <v>2411</v>
      </c>
      <c r="C2772" s="3" t="str">
        <f>"王萍"</f>
        <v>王萍</v>
      </c>
      <c r="D2772" s="3" t="s">
        <v>2506</v>
      </c>
    </row>
    <row r="2773" spans="1:4" ht="24.75" customHeight="1">
      <c r="A2773" s="3" t="str">
        <f>"34892021110416025643440"</f>
        <v>34892021110416025643440</v>
      </c>
      <c r="B2773" s="3" t="s">
        <v>2411</v>
      </c>
      <c r="C2773" s="3" t="str">
        <f>"吴美川"</f>
        <v>吴美川</v>
      </c>
      <c r="D2773" s="3" t="s">
        <v>2116</v>
      </c>
    </row>
    <row r="2774" spans="1:4" ht="24.75" customHeight="1">
      <c r="A2774" s="3" t="str">
        <f>"34892021110416035843442"</f>
        <v>34892021110416035843442</v>
      </c>
      <c r="B2774" s="3" t="s">
        <v>2411</v>
      </c>
      <c r="C2774" s="3" t="str">
        <f>"朱雯蓝"</f>
        <v>朱雯蓝</v>
      </c>
      <c r="D2774" s="3" t="s">
        <v>2507</v>
      </c>
    </row>
    <row r="2775" spans="1:4" ht="24.75" customHeight="1">
      <c r="A2775" s="3" t="str">
        <f>"34892021110416063743449"</f>
        <v>34892021110416063743449</v>
      </c>
      <c r="B2775" s="3" t="s">
        <v>2411</v>
      </c>
      <c r="C2775" s="3" t="str">
        <f>"吴清显"</f>
        <v>吴清显</v>
      </c>
      <c r="D2775" s="3" t="s">
        <v>2508</v>
      </c>
    </row>
    <row r="2776" spans="1:4" ht="24.75" customHeight="1">
      <c r="A2776" s="3" t="str">
        <f>"34892021110416570143575"</f>
        <v>34892021110416570143575</v>
      </c>
      <c r="B2776" s="3" t="s">
        <v>2411</v>
      </c>
      <c r="C2776" s="3" t="str">
        <f>"邱名帅"</f>
        <v>邱名帅</v>
      </c>
      <c r="D2776" s="3" t="s">
        <v>2509</v>
      </c>
    </row>
    <row r="2777" spans="1:4" ht="24.75" customHeight="1">
      <c r="A2777" s="3" t="str">
        <f>"34892021110417532143691"</f>
        <v>34892021110417532143691</v>
      </c>
      <c r="B2777" s="3" t="s">
        <v>2411</v>
      </c>
      <c r="C2777" s="3" t="str">
        <f>"王俊智"</f>
        <v>王俊智</v>
      </c>
      <c r="D2777" s="3" t="s">
        <v>2474</v>
      </c>
    </row>
    <row r="2778" spans="1:4" ht="24.75" customHeight="1">
      <c r="A2778" s="3" t="str">
        <f>"34892021110418431443772"</f>
        <v>34892021110418431443772</v>
      </c>
      <c r="B2778" s="3" t="s">
        <v>2411</v>
      </c>
      <c r="C2778" s="3" t="str">
        <f>"林少雨"</f>
        <v>林少雨</v>
      </c>
      <c r="D2778" s="3" t="s">
        <v>768</v>
      </c>
    </row>
    <row r="2779" spans="1:4" ht="24.75" customHeight="1">
      <c r="A2779" s="3" t="str">
        <f>"34892021110418492643784"</f>
        <v>34892021110418492643784</v>
      </c>
      <c r="B2779" s="3" t="s">
        <v>2411</v>
      </c>
      <c r="C2779" s="3" t="str">
        <f>"黎宏逸"</f>
        <v>黎宏逸</v>
      </c>
      <c r="D2779" s="3" t="s">
        <v>2510</v>
      </c>
    </row>
    <row r="2780" spans="1:4" ht="24.75" customHeight="1">
      <c r="A2780" s="3" t="str">
        <f>"34892021110419000943795"</f>
        <v>34892021110419000943795</v>
      </c>
      <c r="B2780" s="3" t="s">
        <v>2411</v>
      </c>
      <c r="C2780" s="3" t="str">
        <f>"陈杰财"</f>
        <v>陈杰财</v>
      </c>
      <c r="D2780" s="3" t="s">
        <v>2511</v>
      </c>
    </row>
    <row r="2781" spans="1:4" ht="24.75" customHeight="1">
      <c r="A2781" s="3" t="str">
        <f>"34892021110419273143840"</f>
        <v>34892021110419273143840</v>
      </c>
      <c r="B2781" s="3" t="s">
        <v>2411</v>
      </c>
      <c r="C2781" s="3" t="str">
        <f>"羊志杰"</f>
        <v>羊志杰</v>
      </c>
      <c r="D2781" s="3" t="s">
        <v>619</v>
      </c>
    </row>
    <row r="2782" spans="1:4" ht="24.75" customHeight="1">
      <c r="A2782" s="3" t="str">
        <f>"34892021110419322143851"</f>
        <v>34892021110419322143851</v>
      </c>
      <c r="B2782" s="3" t="s">
        <v>2411</v>
      </c>
      <c r="C2782" s="3" t="str">
        <f>"王梨"</f>
        <v>王梨</v>
      </c>
      <c r="D2782" s="3" t="s">
        <v>2512</v>
      </c>
    </row>
    <row r="2783" spans="1:4" ht="24.75" customHeight="1">
      <c r="A2783" s="3" t="str">
        <f>"34892021110420194843945"</f>
        <v>34892021110420194843945</v>
      </c>
      <c r="B2783" s="3" t="s">
        <v>2411</v>
      </c>
      <c r="C2783" s="3" t="str">
        <f>"陈丕光"</f>
        <v>陈丕光</v>
      </c>
      <c r="D2783" s="3" t="s">
        <v>2513</v>
      </c>
    </row>
    <row r="2784" spans="1:4" ht="24.75" customHeight="1">
      <c r="A2784" s="3" t="str">
        <f>"34892021110420260243955"</f>
        <v>34892021110420260243955</v>
      </c>
      <c r="B2784" s="3" t="s">
        <v>2411</v>
      </c>
      <c r="C2784" s="3" t="str">
        <f>"郑童遥"</f>
        <v>郑童遥</v>
      </c>
      <c r="D2784" s="3" t="s">
        <v>2514</v>
      </c>
    </row>
    <row r="2785" spans="1:4" ht="24.75" customHeight="1">
      <c r="A2785" s="3" t="str">
        <f>"34892021110420432243988"</f>
        <v>34892021110420432243988</v>
      </c>
      <c r="B2785" s="3" t="s">
        <v>2411</v>
      </c>
      <c r="C2785" s="3" t="str">
        <f>"韩政豪"</f>
        <v>韩政豪</v>
      </c>
      <c r="D2785" s="3" t="s">
        <v>2515</v>
      </c>
    </row>
    <row r="2786" spans="1:4" ht="24.75" customHeight="1">
      <c r="A2786" s="3" t="str">
        <f>"34892021110420493344002"</f>
        <v>34892021110420493344002</v>
      </c>
      <c r="B2786" s="3" t="s">
        <v>2411</v>
      </c>
      <c r="C2786" s="3" t="str">
        <f>"黄小珍"</f>
        <v>黄小珍</v>
      </c>
      <c r="D2786" s="3" t="s">
        <v>2516</v>
      </c>
    </row>
    <row r="2787" spans="1:4" ht="24.75" customHeight="1">
      <c r="A2787" s="3" t="str">
        <f>"34892021110421114744057"</f>
        <v>34892021110421114744057</v>
      </c>
      <c r="B2787" s="3" t="s">
        <v>2411</v>
      </c>
      <c r="C2787" s="3" t="str">
        <f>"羊精月"</f>
        <v>羊精月</v>
      </c>
      <c r="D2787" s="3" t="s">
        <v>1508</v>
      </c>
    </row>
    <row r="2788" spans="1:4" ht="24.75" customHeight="1">
      <c r="A2788" s="3" t="str">
        <f>"34892021110421501644143"</f>
        <v>34892021110421501644143</v>
      </c>
      <c r="B2788" s="3" t="s">
        <v>2411</v>
      </c>
      <c r="C2788" s="3" t="str">
        <f>"陈冠岳"</f>
        <v>陈冠岳</v>
      </c>
      <c r="D2788" s="3" t="s">
        <v>2517</v>
      </c>
    </row>
    <row r="2789" spans="1:4" ht="24.75" customHeight="1">
      <c r="A2789" s="3" t="str">
        <f>"34892021110421504344144"</f>
        <v>34892021110421504344144</v>
      </c>
      <c r="B2789" s="3" t="s">
        <v>2411</v>
      </c>
      <c r="C2789" s="3" t="str">
        <f>"齐奇"</f>
        <v>齐奇</v>
      </c>
      <c r="D2789" s="3" t="s">
        <v>2518</v>
      </c>
    </row>
    <row r="2790" spans="1:4" ht="24.75" customHeight="1">
      <c r="A2790" s="3" t="str">
        <f>"34892021110422181644199"</f>
        <v>34892021110422181644199</v>
      </c>
      <c r="B2790" s="3" t="s">
        <v>2411</v>
      </c>
      <c r="C2790" s="3" t="str">
        <f>"张丹"</f>
        <v>张丹</v>
      </c>
      <c r="D2790" s="3" t="s">
        <v>2519</v>
      </c>
    </row>
    <row r="2791" spans="1:4" ht="24.75" customHeight="1">
      <c r="A2791" s="3" t="str">
        <f>"34892021110422215344205"</f>
        <v>34892021110422215344205</v>
      </c>
      <c r="B2791" s="3" t="s">
        <v>2411</v>
      </c>
      <c r="C2791" s="3" t="str">
        <f>"李冰冰"</f>
        <v>李冰冰</v>
      </c>
      <c r="D2791" s="3" t="s">
        <v>2520</v>
      </c>
    </row>
    <row r="2792" spans="1:4" ht="24.75" customHeight="1">
      <c r="A2792" s="3" t="str">
        <f>"34892021110422345244231"</f>
        <v>34892021110422345244231</v>
      </c>
      <c r="B2792" s="3" t="s">
        <v>2411</v>
      </c>
      <c r="C2792" s="3" t="str">
        <f>"林鑫"</f>
        <v>林鑫</v>
      </c>
      <c r="D2792" s="3" t="s">
        <v>2521</v>
      </c>
    </row>
    <row r="2793" spans="1:4" ht="24.75" customHeight="1">
      <c r="A2793" s="3" t="str">
        <f>"34892021110422373644234"</f>
        <v>34892021110422373644234</v>
      </c>
      <c r="B2793" s="3" t="s">
        <v>2411</v>
      </c>
      <c r="C2793" s="3" t="str">
        <f>"许芳雅"</f>
        <v>许芳雅</v>
      </c>
      <c r="D2793" s="3" t="s">
        <v>646</v>
      </c>
    </row>
    <row r="2794" spans="1:4" ht="24.75" customHeight="1">
      <c r="A2794" s="3" t="str">
        <f>"34892021110422425744246"</f>
        <v>34892021110422425744246</v>
      </c>
      <c r="B2794" s="3" t="s">
        <v>2411</v>
      </c>
      <c r="C2794" s="3" t="str">
        <f>"陈东升"</f>
        <v>陈东升</v>
      </c>
      <c r="D2794" s="3" t="s">
        <v>2522</v>
      </c>
    </row>
    <row r="2795" spans="1:4" ht="24.75" customHeight="1">
      <c r="A2795" s="3" t="str">
        <f>"34892021110422482044255"</f>
        <v>34892021110422482044255</v>
      </c>
      <c r="B2795" s="3" t="s">
        <v>2411</v>
      </c>
      <c r="C2795" s="3" t="str">
        <f>"陈利琳"</f>
        <v>陈利琳</v>
      </c>
      <c r="D2795" s="3" t="s">
        <v>2523</v>
      </c>
    </row>
    <row r="2796" spans="1:4" ht="24.75" customHeight="1">
      <c r="A2796" s="3" t="str">
        <f>"34892021110423051644285"</f>
        <v>34892021110423051644285</v>
      </c>
      <c r="B2796" s="3" t="s">
        <v>2411</v>
      </c>
      <c r="C2796" s="3" t="str">
        <f>"周忠昊"</f>
        <v>周忠昊</v>
      </c>
      <c r="D2796" s="3" t="s">
        <v>577</v>
      </c>
    </row>
    <row r="2797" spans="1:4" ht="24.75" customHeight="1">
      <c r="A2797" s="3" t="str">
        <f>"34892021110423144844298"</f>
        <v>34892021110423144844298</v>
      </c>
      <c r="B2797" s="3" t="s">
        <v>2411</v>
      </c>
      <c r="C2797" s="3" t="str">
        <f>"侯晓玲"</f>
        <v>侯晓玲</v>
      </c>
      <c r="D2797" s="3" t="s">
        <v>2524</v>
      </c>
    </row>
    <row r="2798" spans="1:4" ht="24.75" customHeight="1">
      <c r="A2798" s="3" t="str">
        <f>"34892021110423153444300"</f>
        <v>34892021110423153444300</v>
      </c>
      <c r="B2798" s="3" t="s">
        <v>2411</v>
      </c>
      <c r="C2798" s="3" t="str">
        <f>"容健霖"</f>
        <v>容健霖</v>
      </c>
      <c r="D2798" s="3" t="s">
        <v>2525</v>
      </c>
    </row>
    <row r="2799" spans="1:4" ht="24.75" customHeight="1">
      <c r="A2799" s="3" t="str">
        <f>"34892021110423381444325"</f>
        <v>34892021110423381444325</v>
      </c>
      <c r="B2799" s="3" t="s">
        <v>2411</v>
      </c>
      <c r="C2799" s="3" t="str">
        <f>"温冬梅"</f>
        <v>温冬梅</v>
      </c>
      <c r="D2799" s="3" t="s">
        <v>2526</v>
      </c>
    </row>
    <row r="2800" spans="1:4" ht="24.75" customHeight="1">
      <c r="A2800" s="3" t="str">
        <f>"34892021110423494544336"</f>
        <v>34892021110423494544336</v>
      </c>
      <c r="B2800" s="3" t="s">
        <v>2411</v>
      </c>
      <c r="C2800" s="3" t="str">
        <f>"羊淑媛"</f>
        <v>羊淑媛</v>
      </c>
      <c r="D2800" s="3" t="s">
        <v>2527</v>
      </c>
    </row>
    <row r="2801" spans="1:4" ht="24.75" customHeight="1">
      <c r="A2801" s="3" t="str">
        <f>"34892021110500584544363"</f>
        <v>34892021110500584544363</v>
      </c>
      <c r="B2801" s="3" t="s">
        <v>2411</v>
      </c>
      <c r="C2801" s="3" t="str">
        <f>"王世锦"</f>
        <v>王世锦</v>
      </c>
      <c r="D2801" s="3" t="s">
        <v>2528</v>
      </c>
    </row>
    <row r="2802" spans="1:4" ht="24.75" customHeight="1">
      <c r="A2802" s="3" t="str">
        <f>"34892021110503180044375"</f>
        <v>34892021110503180044375</v>
      </c>
      <c r="B2802" s="3" t="s">
        <v>2411</v>
      </c>
      <c r="C2802" s="3" t="str">
        <f>"杨文钦"</f>
        <v>杨文钦</v>
      </c>
      <c r="D2802" s="3" t="s">
        <v>307</v>
      </c>
    </row>
    <row r="2803" spans="1:4" ht="24.75" customHeight="1">
      <c r="A2803" s="3" t="str">
        <f>"34892021110508371444461"</f>
        <v>34892021110508371444461</v>
      </c>
      <c r="B2803" s="3" t="s">
        <v>2411</v>
      </c>
      <c r="C2803" s="3" t="str">
        <f>"吴淑新"</f>
        <v>吴淑新</v>
      </c>
      <c r="D2803" s="3" t="s">
        <v>1785</v>
      </c>
    </row>
    <row r="2804" spans="1:4" ht="24.75" customHeight="1">
      <c r="A2804" s="3" t="str">
        <f>"34892021110509315144590"</f>
        <v>34892021110509315144590</v>
      </c>
      <c r="B2804" s="3" t="s">
        <v>2411</v>
      </c>
      <c r="C2804" s="3" t="str">
        <f>"陶大天"</f>
        <v>陶大天</v>
      </c>
      <c r="D2804" s="3" t="s">
        <v>2529</v>
      </c>
    </row>
    <row r="2805" spans="1:4" ht="24.75" customHeight="1">
      <c r="A2805" s="3" t="str">
        <f>"34892021110510032144664"</f>
        <v>34892021110510032144664</v>
      </c>
      <c r="B2805" s="3" t="s">
        <v>2411</v>
      </c>
      <c r="C2805" s="3" t="str">
        <f>"梁云丽"</f>
        <v>梁云丽</v>
      </c>
      <c r="D2805" s="3" t="s">
        <v>2530</v>
      </c>
    </row>
    <row r="2806" spans="1:4" ht="24.75" customHeight="1">
      <c r="A2806" s="3" t="str">
        <f>"34892021110510084444678"</f>
        <v>34892021110510084444678</v>
      </c>
      <c r="B2806" s="3" t="s">
        <v>2411</v>
      </c>
      <c r="C2806" s="3" t="str">
        <f>"罗金羽"</f>
        <v>罗金羽</v>
      </c>
      <c r="D2806" s="3" t="s">
        <v>2531</v>
      </c>
    </row>
    <row r="2807" spans="1:4" ht="24.75" customHeight="1">
      <c r="A2807" s="3" t="str">
        <f>"34892021110510170144704"</f>
        <v>34892021110510170144704</v>
      </c>
      <c r="B2807" s="3" t="s">
        <v>2411</v>
      </c>
      <c r="C2807" s="3" t="str">
        <f>"王靖"</f>
        <v>王靖</v>
      </c>
      <c r="D2807" s="3" t="s">
        <v>2532</v>
      </c>
    </row>
    <row r="2808" spans="1:4" ht="24.75" customHeight="1">
      <c r="A2808" s="3" t="str">
        <f>"34892021110510273644748"</f>
        <v>34892021110510273644748</v>
      </c>
      <c r="B2808" s="3" t="s">
        <v>2411</v>
      </c>
      <c r="C2808" s="3" t="str">
        <f>"张爽"</f>
        <v>张爽</v>
      </c>
      <c r="D2808" s="3" t="s">
        <v>2533</v>
      </c>
    </row>
    <row r="2809" spans="1:4" ht="24.75" customHeight="1">
      <c r="A2809" s="3" t="str">
        <f>"34892021110510334344755"</f>
        <v>34892021110510334344755</v>
      </c>
      <c r="B2809" s="3" t="s">
        <v>2411</v>
      </c>
      <c r="C2809" s="3" t="str">
        <f>"吴娟"</f>
        <v>吴娟</v>
      </c>
      <c r="D2809" s="3" t="s">
        <v>2534</v>
      </c>
    </row>
    <row r="2810" spans="1:4" ht="24.75" customHeight="1">
      <c r="A2810" s="3" t="str">
        <f>"34892021110510374444771"</f>
        <v>34892021110510374444771</v>
      </c>
      <c r="B2810" s="3" t="s">
        <v>2411</v>
      </c>
      <c r="C2810" s="3" t="str">
        <f>"陈明发"</f>
        <v>陈明发</v>
      </c>
      <c r="D2810" s="3" t="s">
        <v>2535</v>
      </c>
    </row>
    <row r="2811" spans="1:4" ht="24.75" customHeight="1">
      <c r="A2811" s="3" t="str">
        <f>"34892021110511014744836"</f>
        <v>34892021110511014744836</v>
      </c>
      <c r="B2811" s="3" t="s">
        <v>2411</v>
      </c>
      <c r="C2811" s="3" t="str">
        <f>"刘钊林"</f>
        <v>刘钊林</v>
      </c>
      <c r="D2811" s="3" t="s">
        <v>2536</v>
      </c>
    </row>
    <row r="2812" spans="1:4" ht="24.75" customHeight="1">
      <c r="A2812" s="3" t="str">
        <f>"34892021110511471644952"</f>
        <v>34892021110511471644952</v>
      </c>
      <c r="B2812" s="3" t="s">
        <v>2411</v>
      </c>
      <c r="C2812" s="3" t="str">
        <f>"钟鸾凤"</f>
        <v>钟鸾凤</v>
      </c>
      <c r="D2812" s="3" t="s">
        <v>2537</v>
      </c>
    </row>
    <row r="2813" spans="1:4" ht="24.75" customHeight="1">
      <c r="A2813" s="3" t="str">
        <f>"34892021110512312445039"</f>
        <v>34892021110512312445039</v>
      </c>
      <c r="B2813" s="3" t="s">
        <v>2411</v>
      </c>
      <c r="C2813" s="3" t="str">
        <f>"何迅"</f>
        <v>何迅</v>
      </c>
      <c r="D2813" s="3" t="s">
        <v>1212</v>
      </c>
    </row>
    <row r="2814" spans="1:4" ht="24.75" customHeight="1">
      <c r="A2814" s="3" t="str">
        <f>"34892021110513301345154"</f>
        <v>34892021110513301345154</v>
      </c>
      <c r="B2814" s="3" t="s">
        <v>2411</v>
      </c>
      <c r="C2814" s="3" t="str">
        <f>"黄承宝"</f>
        <v>黄承宝</v>
      </c>
      <c r="D2814" s="3" t="s">
        <v>2538</v>
      </c>
    </row>
    <row r="2815" spans="1:4" ht="24.75" customHeight="1">
      <c r="A2815" s="3" t="str">
        <f>"34892021110514213545233"</f>
        <v>34892021110514213545233</v>
      </c>
      <c r="B2815" s="3" t="s">
        <v>2411</v>
      </c>
      <c r="C2815" s="3" t="str">
        <f>"符传明"</f>
        <v>符传明</v>
      </c>
      <c r="D2815" s="3" t="s">
        <v>2539</v>
      </c>
    </row>
    <row r="2816" spans="1:4" ht="24.75" customHeight="1">
      <c r="A2816" s="3" t="str">
        <f>"34892021110514403445275"</f>
        <v>34892021110514403445275</v>
      </c>
      <c r="B2816" s="3" t="s">
        <v>2411</v>
      </c>
      <c r="C2816" s="3" t="str">
        <f>"符永峰"</f>
        <v>符永峰</v>
      </c>
      <c r="D2816" s="3" t="s">
        <v>2540</v>
      </c>
    </row>
    <row r="2817" spans="1:4" ht="24.75" customHeight="1">
      <c r="A2817" s="3" t="str">
        <f>"34892021110515044045337"</f>
        <v>34892021110515044045337</v>
      </c>
      <c r="B2817" s="3" t="s">
        <v>2411</v>
      </c>
      <c r="C2817" s="3" t="str">
        <f>"黄发旺"</f>
        <v>黄发旺</v>
      </c>
      <c r="D2817" s="3" t="s">
        <v>2541</v>
      </c>
    </row>
    <row r="2818" spans="1:4" ht="24.75" customHeight="1">
      <c r="A2818" s="3" t="str">
        <f>"34892021110515224745402"</f>
        <v>34892021110515224745402</v>
      </c>
      <c r="B2818" s="3" t="s">
        <v>2411</v>
      </c>
      <c r="C2818" s="3" t="str">
        <f>"罗小波"</f>
        <v>罗小波</v>
      </c>
      <c r="D2818" s="3" t="s">
        <v>2542</v>
      </c>
    </row>
    <row r="2819" spans="1:4" ht="24.75" customHeight="1">
      <c r="A2819" s="3" t="str">
        <f>"34892021110515530345525"</f>
        <v>34892021110515530345525</v>
      </c>
      <c r="B2819" s="3" t="s">
        <v>2411</v>
      </c>
      <c r="C2819" s="3" t="str">
        <f>"王青利"</f>
        <v>王青利</v>
      </c>
      <c r="D2819" s="3" t="s">
        <v>1531</v>
      </c>
    </row>
    <row r="2820" spans="1:4" ht="24.75" customHeight="1">
      <c r="A2820" s="3" t="str">
        <f>"34892021110516313345608"</f>
        <v>34892021110516313345608</v>
      </c>
      <c r="B2820" s="3" t="s">
        <v>2411</v>
      </c>
      <c r="C2820" s="3" t="str">
        <f>"林诗铭"</f>
        <v>林诗铭</v>
      </c>
      <c r="D2820" s="3" t="s">
        <v>2543</v>
      </c>
    </row>
    <row r="2821" spans="1:4" ht="24.75" customHeight="1">
      <c r="A2821" s="3" t="str">
        <f>"34892021110516445445631"</f>
        <v>34892021110516445445631</v>
      </c>
      <c r="B2821" s="3" t="s">
        <v>2411</v>
      </c>
      <c r="C2821" s="3" t="str">
        <f>"郑树桐"</f>
        <v>郑树桐</v>
      </c>
      <c r="D2821" s="3" t="s">
        <v>2544</v>
      </c>
    </row>
    <row r="2822" spans="1:4" ht="24.75" customHeight="1">
      <c r="A2822" s="3" t="str">
        <f>"34892021110517513845733"</f>
        <v>34892021110517513845733</v>
      </c>
      <c r="B2822" s="3" t="s">
        <v>2411</v>
      </c>
      <c r="C2822" s="3" t="str">
        <f>"吉胜"</f>
        <v>吉胜</v>
      </c>
      <c r="D2822" s="3" t="s">
        <v>2545</v>
      </c>
    </row>
    <row r="2823" spans="1:4" ht="24.75" customHeight="1">
      <c r="A2823" s="3" t="str">
        <f>"34892021110518065245744"</f>
        <v>34892021110518065245744</v>
      </c>
      <c r="B2823" s="3" t="s">
        <v>2411</v>
      </c>
      <c r="C2823" s="3" t="str">
        <f>"杨来浩"</f>
        <v>杨来浩</v>
      </c>
      <c r="D2823" s="3" t="s">
        <v>2546</v>
      </c>
    </row>
    <row r="2824" spans="1:4" ht="24.75" customHeight="1">
      <c r="A2824" s="3" t="str">
        <f>"34892021110521420545912"</f>
        <v>34892021110521420545912</v>
      </c>
      <c r="B2824" s="3" t="s">
        <v>2411</v>
      </c>
      <c r="C2824" s="3" t="str">
        <f>"符晨斌"</f>
        <v>符晨斌</v>
      </c>
      <c r="D2824" s="3" t="s">
        <v>2547</v>
      </c>
    </row>
    <row r="2825" spans="1:4" ht="24.75" customHeight="1">
      <c r="A2825" s="3" t="str">
        <f>"34892021110522022645931"</f>
        <v>34892021110522022645931</v>
      </c>
      <c r="B2825" s="3" t="s">
        <v>2411</v>
      </c>
      <c r="C2825" s="3" t="str">
        <f>"蔡丽婷"</f>
        <v>蔡丽婷</v>
      </c>
      <c r="D2825" s="3" t="s">
        <v>2548</v>
      </c>
    </row>
    <row r="2826" spans="1:4" ht="24.75" customHeight="1">
      <c r="A2826" s="3" t="str">
        <f>"34892021110522361145957"</f>
        <v>34892021110522361145957</v>
      </c>
      <c r="B2826" s="3" t="s">
        <v>2411</v>
      </c>
      <c r="C2826" s="3" t="str">
        <f>"林琼麟"</f>
        <v>林琼麟</v>
      </c>
      <c r="D2826" s="3" t="s">
        <v>2549</v>
      </c>
    </row>
    <row r="2827" spans="1:4" ht="24.75" customHeight="1">
      <c r="A2827" s="3" t="str">
        <f>"34892021110522414045963"</f>
        <v>34892021110522414045963</v>
      </c>
      <c r="B2827" s="3" t="s">
        <v>2411</v>
      </c>
      <c r="C2827" s="3" t="str">
        <f>"许弘姐"</f>
        <v>许弘姐</v>
      </c>
      <c r="D2827" s="3" t="s">
        <v>2550</v>
      </c>
    </row>
    <row r="2828" spans="1:4" ht="24.75" customHeight="1">
      <c r="A2828" s="3" t="str">
        <f>"34892021110523410546011"</f>
        <v>34892021110523410546011</v>
      </c>
      <c r="B2828" s="3" t="s">
        <v>2411</v>
      </c>
      <c r="C2828" s="3" t="str">
        <f>"邓攀登"</f>
        <v>邓攀登</v>
      </c>
      <c r="D2828" s="3" t="s">
        <v>2551</v>
      </c>
    </row>
    <row r="2829" spans="1:4" ht="24.75" customHeight="1">
      <c r="A2829" s="3" t="str">
        <f>"34892021110523471646014"</f>
        <v>34892021110523471646014</v>
      </c>
      <c r="B2829" s="3" t="s">
        <v>2411</v>
      </c>
      <c r="C2829" s="3" t="str">
        <f>"曾广智"</f>
        <v>曾广智</v>
      </c>
      <c r="D2829" s="3" t="s">
        <v>2552</v>
      </c>
    </row>
    <row r="2830" spans="1:4" ht="24.75" customHeight="1">
      <c r="A2830" s="3" t="str">
        <f>"34892021110609212446085"</f>
        <v>34892021110609212446085</v>
      </c>
      <c r="B2830" s="3" t="s">
        <v>2411</v>
      </c>
      <c r="C2830" s="3" t="str">
        <f>"郭泽乐"</f>
        <v>郭泽乐</v>
      </c>
      <c r="D2830" s="3" t="s">
        <v>79</v>
      </c>
    </row>
    <row r="2831" spans="1:4" ht="24.75" customHeight="1">
      <c r="A2831" s="3" t="str">
        <f>"34892021110610165746123"</f>
        <v>34892021110610165746123</v>
      </c>
      <c r="B2831" s="3" t="s">
        <v>2411</v>
      </c>
      <c r="C2831" s="3" t="str">
        <f>"苏炳妃"</f>
        <v>苏炳妃</v>
      </c>
      <c r="D2831" s="3" t="s">
        <v>259</v>
      </c>
    </row>
    <row r="2832" spans="1:4" ht="24.75" customHeight="1">
      <c r="A2832" s="3" t="str">
        <f>"34892021110610571346150"</f>
        <v>34892021110610571346150</v>
      </c>
      <c r="B2832" s="3" t="s">
        <v>2411</v>
      </c>
      <c r="C2832" s="3" t="str">
        <f>"李苑"</f>
        <v>李苑</v>
      </c>
      <c r="D2832" s="3" t="s">
        <v>2553</v>
      </c>
    </row>
    <row r="2833" spans="1:4" ht="24.75" customHeight="1">
      <c r="A2833" s="3" t="str">
        <f>"34892021110611084046160"</f>
        <v>34892021110611084046160</v>
      </c>
      <c r="B2833" s="3" t="s">
        <v>2411</v>
      </c>
      <c r="C2833" s="3" t="str">
        <f>"张鹏"</f>
        <v>张鹏</v>
      </c>
      <c r="D2833" s="3" t="s">
        <v>2554</v>
      </c>
    </row>
    <row r="2834" spans="1:4" ht="24.75" customHeight="1">
      <c r="A2834" s="3" t="str">
        <f>"34892021110611264446181"</f>
        <v>34892021110611264446181</v>
      </c>
      <c r="B2834" s="3" t="s">
        <v>2411</v>
      </c>
      <c r="C2834" s="3" t="str">
        <f>"卢晓辉"</f>
        <v>卢晓辉</v>
      </c>
      <c r="D2834" s="3" t="s">
        <v>2555</v>
      </c>
    </row>
    <row r="2835" spans="1:4" ht="24.75" customHeight="1">
      <c r="A2835" s="3" t="str">
        <f>"34892021110613551446270"</f>
        <v>34892021110613551446270</v>
      </c>
      <c r="B2835" s="3" t="s">
        <v>2411</v>
      </c>
      <c r="C2835" s="3" t="str">
        <f>"黄春妮"</f>
        <v>黄春妮</v>
      </c>
      <c r="D2835" s="3" t="s">
        <v>2556</v>
      </c>
    </row>
    <row r="2836" spans="1:4" ht="24.75" customHeight="1">
      <c r="A2836" s="3" t="str">
        <f>"34892021110614130846279"</f>
        <v>34892021110614130846279</v>
      </c>
      <c r="B2836" s="3" t="s">
        <v>2411</v>
      </c>
      <c r="C2836" s="3" t="str">
        <f>"李皎余"</f>
        <v>李皎余</v>
      </c>
      <c r="D2836" s="3" t="s">
        <v>1565</v>
      </c>
    </row>
    <row r="2837" spans="1:4" ht="24.75" customHeight="1">
      <c r="A2837" s="3" t="str">
        <f>"34892021110614231746283"</f>
        <v>34892021110614231746283</v>
      </c>
      <c r="B2837" s="3" t="s">
        <v>2411</v>
      </c>
      <c r="C2837" s="3" t="str">
        <f>"曾彬"</f>
        <v>曾彬</v>
      </c>
      <c r="D2837" s="3" t="s">
        <v>1661</v>
      </c>
    </row>
    <row r="2838" spans="1:4" ht="24.75" customHeight="1">
      <c r="A2838" s="3" t="str">
        <f>"34892021110616082246354"</f>
        <v>34892021110616082246354</v>
      </c>
      <c r="B2838" s="3" t="s">
        <v>2411</v>
      </c>
      <c r="C2838" s="3" t="str">
        <f>"陈泰珍"</f>
        <v>陈泰珍</v>
      </c>
      <c r="D2838" s="3" t="s">
        <v>2557</v>
      </c>
    </row>
    <row r="2839" spans="1:4" ht="24.75" customHeight="1">
      <c r="A2839" s="3" t="str">
        <f>"34892021110616261346362"</f>
        <v>34892021110616261346362</v>
      </c>
      <c r="B2839" s="3" t="s">
        <v>2411</v>
      </c>
      <c r="C2839" s="3" t="str">
        <f>"温道全"</f>
        <v>温道全</v>
      </c>
      <c r="D2839" s="3" t="s">
        <v>2558</v>
      </c>
    </row>
    <row r="2840" spans="1:4" ht="24.75" customHeight="1">
      <c r="A2840" s="3" t="str">
        <f>"34892021110618270146434"</f>
        <v>34892021110618270146434</v>
      </c>
      <c r="B2840" s="3" t="s">
        <v>2411</v>
      </c>
      <c r="C2840" s="3" t="str">
        <f>"郑鼎花"</f>
        <v>郑鼎花</v>
      </c>
      <c r="D2840" s="3" t="s">
        <v>2559</v>
      </c>
    </row>
    <row r="2841" spans="1:4" ht="24.75" customHeight="1">
      <c r="A2841" s="3" t="str">
        <f>"34892021110623080246603"</f>
        <v>34892021110623080246603</v>
      </c>
      <c r="B2841" s="3" t="s">
        <v>2411</v>
      </c>
      <c r="C2841" s="3" t="str">
        <f>"王登顺"</f>
        <v>王登顺</v>
      </c>
      <c r="D2841" s="3" t="s">
        <v>2560</v>
      </c>
    </row>
    <row r="2842" spans="1:4" ht="24.75" customHeight="1">
      <c r="A2842" s="3" t="str">
        <f>"34892021110700331446646"</f>
        <v>34892021110700331446646</v>
      </c>
      <c r="B2842" s="3" t="s">
        <v>2411</v>
      </c>
      <c r="C2842" s="3" t="str">
        <f>"颜献银"</f>
        <v>颜献银</v>
      </c>
      <c r="D2842" s="3" t="s">
        <v>2561</v>
      </c>
    </row>
    <row r="2843" spans="1:4" ht="24.75" customHeight="1">
      <c r="A2843" s="3" t="str">
        <f>"34892021110700462346647"</f>
        <v>34892021110700462346647</v>
      </c>
      <c r="B2843" s="3" t="s">
        <v>2411</v>
      </c>
      <c r="C2843" s="3" t="str">
        <f>"彭园园"</f>
        <v>彭园园</v>
      </c>
      <c r="D2843" s="3" t="s">
        <v>2562</v>
      </c>
    </row>
    <row r="2844" spans="1:4" ht="24.75" customHeight="1">
      <c r="A2844" s="3" t="str">
        <f>"34892021110702005446652"</f>
        <v>34892021110702005446652</v>
      </c>
      <c r="B2844" s="3" t="s">
        <v>2411</v>
      </c>
      <c r="C2844" s="3" t="str">
        <f>"张孟江"</f>
        <v>张孟江</v>
      </c>
      <c r="D2844" s="3" t="s">
        <v>2563</v>
      </c>
    </row>
    <row r="2845" spans="1:4" ht="24.75" customHeight="1">
      <c r="A2845" s="3" t="str">
        <f>"34892021110710214546728"</f>
        <v>34892021110710214546728</v>
      </c>
      <c r="B2845" s="3" t="s">
        <v>2411</v>
      </c>
      <c r="C2845" s="3" t="str">
        <f>"陈保杉"</f>
        <v>陈保杉</v>
      </c>
      <c r="D2845" s="3" t="s">
        <v>2564</v>
      </c>
    </row>
    <row r="2846" spans="1:4" ht="24.75" customHeight="1">
      <c r="A2846" s="3" t="str">
        <f>"34892021110710233546731"</f>
        <v>34892021110710233546731</v>
      </c>
      <c r="B2846" s="3" t="s">
        <v>2411</v>
      </c>
      <c r="C2846" s="3" t="str">
        <f>"蓝秋媛"</f>
        <v>蓝秋媛</v>
      </c>
      <c r="D2846" s="3" t="s">
        <v>2565</v>
      </c>
    </row>
    <row r="2847" spans="1:4" ht="24.75" customHeight="1">
      <c r="A2847" s="3" t="str">
        <f>"34892021110711221946767"</f>
        <v>34892021110711221946767</v>
      </c>
      <c r="B2847" s="3" t="s">
        <v>2411</v>
      </c>
      <c r="C2847" s="3" t="str">
        <f>"黎倩"</f>
        <v>黎倩</v>
      </c>
      <c r="D2847" s="3" t="s">
        <v>2566</v>
      </c>
    </row>
    <row r="2848" spans="1:4" ht="24.75" customHeight="1">
      <c r="A2848" s="3" t="str">
        <f>"34892021110716153346930"</f>
        <v>34892021110716153346930</v>
      </c>
      <c r="B2848" s="3" t="s">
        <v>2411</v>
      </c>
      <c r="C2848" s="3" t="str">
        <f>"曾维龙"</f>
        <v>曾维龙</v>
      </c>
      <c r="D2848" s="3" t="s">
        <v>577</v>
      </c>
    </row>
    <row r="2849" spans="1:4" ht="24.75" customHeight="1">
      <c r="A2849" s="3" t="str">
        <f>"34892021110719265947051"</f>
        <v>34892021110719265947051</v>
      </c>
      <c r="B2849" s="3" t="s">
        <v>2411</v>
      </c>
      <c r="C2849" s="3" t="str">
        <f>"陈俄煌"</f>
        <v>陈俄煌</v>
      </c>
      <c r="D2849" s="3" t="s">
        <v>2567</v>
      </c>
    </row>
    <row r="2850" spans="1:4" ht="24.75" customHeight="1">
      <c r="A2850" s="3" t="str">
        <f>"34892021110719353547054"</f>
        <v>34892021110719353547054</v>
      </c>
      <c r="B2850" s="3" t="s">
        <v>2411</v>
      </c>
      <c r="C2850" s="3" t="str">
        <f>"张龙"</f>
        <v>张龙</v>
      </c>
      <c r="D2850" s="3" t="s">
        <v>2568</v>
      </c>
    </row>
    <row r="2851" spans="1:4" ht="24.75" customHeight="1">
      <c r="A2851" s="3" t="str">
        <f>"34892021110719423647058"</f>
        <v>34892021110719423647058</v>
      </c>
      <c r="B2851" s="3" t="s">
        <v>2411</v>
      </c>
      <c r="C2851" s="3" t="str">
        <f>" 杨宗威"</f>
        <v> 杨宗威</v>
      </c>
      <c r="D2851" s="3" t="s">
        <v>2569</v>
      </c>
    </row>
    <row r="2852" spans="1:4" ht="24.75" customHeight="1">
      <c r="A2852" s="3" t="str">
        <f>"34892021110719492747065"</f>
        <v>34892021110719492747065</v>
      </c>
      <c r="B2852" s="3" t="s">
        <v>2411</v>
      </c>
      <c r="C2852" s="3" t="str">
        <f>"吴英武"</f>
        <v>吴英武</v>
      </c>
      <c r="D2852" s="3" t="s">
        <v>2570</v>
      </c>
    </row>
    <row r="2853" spans="1:4" ht="24.75" customHeight="1">
      <c r="A2853" s="3" t="str">
        <f>"34892021110721233047129"</f>
        <v>34892021110721233047129</v>
      </c>
      <c r="B2853" s="3" t="s">
        <v>2411</v>
      </c>
      <c r="C2853" s="3" t="str">
        <f>"孙庆思"</f>
        <v>孙庆思</v>
      </c>
      <c r="D2853" s="3" t="s">
        <v>2571</v>
      </c>
    </row>
    <row r="2854" spans="1:4" ht="24.75" customHeight="1">
      <c r="A2854" s="3" t="str">
        <f>"34892021110721351847142"</f>
        <v>34892021110721351847142</v>
      </c>
      <c r="B2854" s="3" t="s">
        <v>2411</v>
      </c>
      <c r="C2854" s="3" t="str">
        <f>"陈文书"</f>
        <v>陈文书</v>
      </c>
      <c r="D2854" s="3" t="s">
        <v>2572</v>
      </c>
    </row>
    <row r="2855" spans="1:4" ht="24.75" customHeight="1">
      <c r="A2855" s="3" t="str">
        <f>"34892021110721484647151"</f>
        <v>34892021110721484647151</v>
      </c>
      <c r="B2855" s="3" t="s">
        <v>2411</v>
      </c>
      <c r="C2855" s="3" t="str">
        <f>"陈孝业"</f>
        <v>陈孝业</v>
      </c>
      <c r="D2855" s="3" t="s">
        <v>2573</v>
      </c>
    </row>
    <row r="2856" spans="1:4" ht="24.75" customHeight="1">
      <c r="A2856" s="3" t="str">
        <f>"34892021110721552647157"</f>
        <v>34892021110721552647157</v>
      </c>
      <c r="B2856" s="3" t="s">
        <v>2411</v>
      </c>
      <c r="C2856" s="3" t="str">
        <f>"王康帅"</f>
        <v>王康帅</v>
      </c>
      <c r="D2856" s="3" t="s">
        <v>2574</v>
      </c>
    </row>
    <row r="2857" spans="1:4" ht="24.75" customHeight="1">
      <c r="A2857" s="3" t="str">
        <f>"34892021110722151847177"</f>
        <v>34892021110722151847177</v>
      </c>
      <c r="B2857" s="3" t="s">
        <v>2411</v>
      </c>
      <c r="C2857" s="3" t="str">
        <f>"郑东俊"</f>
        <v>郑东俊</v>
      </c>
      <c r="D2857" s="3" t="s">
        <v>599</v>
      </c>
    </row>
    <row r="2858" spans="1:4" ht="24.75" customHeight="1">
      <c r="A2858" s="3" t="str">
        <f>"34892021110722324647193"</f>
        <v>34892021110722324647193</v>
      </c>
      <c r="B2858" s="3" t="s">
        <v>2411</v>
      </c>
      <c r="C2858" s="3" t="str">
        <f>"林尤瑜"</f>
        <v>林尤瑜</v>
      </c>
      <c r="D2858" s="3" t="s">
        <v>2575</v>
      </c>
    </row>
    <row r="2859" spans="1:4" ht="24.75" customHeight="1">
      <c r="A2859" s="3" t="str">
        <f>"34892021110723364847245"</f>
        <v>34892021110723364847245</v>
      </c>
      <c r="B2859" s="3" t="s">
        <v>2411</v>
      </c>
      <c r="C2859" s="3" t="str">
        <f>"蒙世睿"</f>
        <v>蒙世睿</v>
      </c>
      <c r="D2859" s="3" t="s">
        <v>2576</v>
      </c>
    </row>
    <row r="2860" spans="1:4" ht="24.75" customHeight="1">
      <c r="A2860" s="3" t="str">
        <f>"34892021110723590747256"</f>
        <v>34892021110723590747256</v>
      </c>
      <c r="B2860" s="3" t="s">
        <v>2411</v>
      </c>
      <c r="C2860" s="3" t="str">
        <f>"符燕萍"</f>
        <v>符燕萍</v>
      </c>
      <c r="D2860" s="3" t="s">
        <v>2577</v>
      </c>
    </row>
    <row r="2861" spans="1:4" ht="24.75" customHeight="1">
      <c r="A2861" s="3" t="str">
        <f>"34892021110808283147310"</f>
        <v>34892021110808283147310</v>
      </c>
      <c r="B2861" s="3" t="s">
        <v>2411</v>
      </c>
      <c r="C2861" s="3" t="str">
        <f>"劳宝凯"</f>
        <v>劳宝凯</v>
      </c>
      <c r="D2861" s="3" t="s">
        <v>2578</v>
      </c>
    </row>
    <row r="2862" spans="1:4" ht="24.75" customHeight="1">
      <c r="A2862" s="3" t="str">
        <f>"34892021110808380947320"</f>
        <v>34892021110808380947320</v>
      </c>
      <c r="B2862" s="3" t="s">
        <v>2411</v>
      </c>
      <c r="C2862" s="3" t="str">
        <f>"许绩发"</f>
        <v>许绩发</v>
      </c>
      <c r="D2862" s="3" t="s">
        <v>1211</v>
      </c>
    </row>
    <row r="2863" spans="1:4" ht="24.75" customHeight="1">
      <c r="A2863" s="3" t="str">
        <f>"34892021110808554747348"</f>
        <v>34892021110808554747348</v>
      </c>
      <c r="B2863" s="3" t="s">
        <v>2411</v>
      </c>
      <c r="C2863" s="3" t="str">
        <f>"蔡於勋"</f>
        <v>蔡於勋</v>
      </c>
      <c r="D2863" s="3" t="s">
        <v>2416</v>
      </c>
    </row>
    <row r="2864" spans="1:4" ht="24.75" customHeight="1">
      <c r="A2864" s="3" t="str">
        <f>"34892021110809274247398"</f>
        <v>34892021110809274247398</v>
      </c>
      <c r="B2864" s="3" t="s">
        <v>2411</v>
      </c>
      <c r="C2864" s="3" t="str">
        <f>"吴春燕"</f>
        <v>吴春燕</v>
      </c>
      <c r="D2864" s="3" t="s">
        <v>2579</v>
      </c>
    </row>
    <row r="2865" spans="1:4" ht="24.75" customHeight="1">
      <c r="A2865" s="3" t="str">
        <f>"34892021110809413247413"</f>
        <v>34892021110809413247413</v>
      </c>
      <c r="B2865" s="3" t="s">
        <v>2411</v>
      </c>
      <c r="C2865" s="3" t="str">
        <f>"符晓辉"</f>
        <v>符晓辉</v>
      </c>
      <c r="D2865" s="3" t="s">
        <v>2580</v>
      </c>
    </row>
    <row r="2866" spans="1:4" ht="24.75" customHeight="1">
      <c r="A2866" s="3" t="str">
        <f>"34892021110810234347493"</f>
        <v>34892021110810234347493</v>
      </c>
      <c r="B2866" s="3" t="s">
        <v>2411</v>
      </c>
      <c r="C2866" s="3" t="str">
        <f>"吴娇"</f>
        <v>吴娇</v>
      </c>
      <c r="D2866" s="3" t="s">
        <v>2581</v>
      </c>
    </row>
    <row r="2867" spans="1:4" ht="24.75" customHeight="1">
      <c r="A2867" s="3" t="str">
        <f>"34892021110810290447499"</f>
        <v>34892021110810290447499</v>
      </c>
      <c r="B2867" s="3" t="s">
        <v>2411</v>
      </c>
      <c r="C2867" s="3" t="str">
        <f>"蔡亲展"</f>
        <v>蔡亲展</v>
      </c>
      <c r="D2867" s="3" t="s">
        <v>2582</v>
      </c>
    </row>
    <row r="2868" spans="1:4" ht="24.75" customHeight="1">
      <c r="A2868" s="3" t="str">
        <f>"34892021110810313947506"</f>
        <v>34892021110810313947506</v>
      </c>
      <c r="B2868" s="3" t="s">
        <v>2411</v>
      </c>
      <c r="C2868" s="3" t="str">
        <f>"王娇娇"</f>
        <v>王娇娇</v>
      </c>
      <c r="D2868" s="3" t="s">
        <v>2583</v>
      </c>
    </row>
    <row r="2869" spans="1:4" ht="24.75" customHeight="1">
      <c r="A2869" s="3" t="str">
        <f>"34892021110811060847553"</f>
        <v>34892021110811060847553</v>
      </c>
      <c r="B2869" s="3" t="s">
        <v>2411</v>
      </c>
      <c r="C2869" s="3" t="str">
        <f>"徐华杰"</f>
        <v>徐华杰</v>
      </c>
      <c r="D2869" s="3" t="s">
        <v>2584</v>
      </c>
    </row>
    <row r="2870" spans="1:4" ht="24.75" customHeight="1">
      <c r="A2870" s="3" t="str">
        <f>"34892021110811320747595"</f>
        <v>34892021110811320747595</v>
      </c>
      <c r="B2870" s="3" t="s">
        <v>2411</v>
      </c>
      <c r="C2870" s="3" t="str">
        <f>"李想"</f>
        <v>李想</v>
      </c>
      <c r="D2870" s="3" t="s">
        <v>2585</v>
      </c>
    </row>
    <row r="2871" spans="1:4" ht="24.75" customHeight="1">
      <c r="A2871" s="3" t="str">
        <f>"34892021110811404147607"</f>
        <v>34892021110811404147607</v>
      </c>
      <c r="B2871" s="3" t="s">
        <v>2411</v>
      </c>
      <c r="C2871" s="3" t="str">
        <f>"曾造邦"</f>
        <v>曾造邦</v>
      </c>
      <c r="D2871" s="3" t="s">
        <v>2586</v>
      </c>
    </row>
    <row r="2872" spans="1:4" ht="24.75" customHeight="1">
      <c r="A2872" s="3" t="str">
        <f>"34892021110811522347637"</f>
        <v>34892021110811522347637</v>
      </c>
      <c r="B2872" s="3" t="s">
        <v>2411</v>
      </c>
      <c r="C2872" s="3" t="str">
        <f>"梁景皓"</f>
        <v>梁景皓</v>
      </c>
      <c r="D2872" s="3" t="s">
        <v>2587</v>
      </c>
    </row>
    <row r="2873" spans="1:4" ht="24.75" customHeight="1">
      <c r="A2873" s="3" t="str">
        <f>"34892021110812024747655"</f>
        <v>34892021110812024747655</v>
      </c>
      <c r="B2873" s="3" t="s">
        <v>2411</v>
      </c>
      <c r="C2873" s="3" t="str">
        <f>"李遗冠"</f>
        <v>李遗冠</v>
      </c>
      <c r="D2873" s="3" t="s">
        <v>2588</v>
      </c>
    </row>
    <row r="2874" spans="1:4" ht="24.75" customHeight="1">
      <c r="A2874" s="3" t="str">
        <f>"34892021110812124647661"</f>
        <v>34892021110812124647661</v>
      </c>
      <c r="B2874" s="3" t="s">
        <v>2411</v>
      </c>
      <c r="C2874" s="3" t="str">
        <f>"周家龙"</f>
        <v>周家龙</v>
      </c>
      <c r="D2874" s="3" t="s">
        <v>1965</v>
      </c>
    </row>
    <row r="2875" spans="1:4" ht="24.75" customHeight="1">
      <c r="A2875" s="3" t="str">
        <f>"34892021110812475647701"</f>
        <v>34892021110812475647701</v>
      </c>
      <c r="B2875" s="3" t="s">
        <v>2411</v>
      </c>
      <c r="C2875" s="3" t="str">
        <f>"林垚臣"</f>
        <v>林垚臣</v>
      </c>
      <c r="D2875" s="3" t="s">
        <v>1293</v>
      </c>
    </row>
    <row r="2876" spans="1:4" ht="24.75" customHeight="1">
      <c r="A2876" s="3" t="str">
        <f>"34892021110813050647721"</f>
        <v>34892021110813050647721</v>
      </c>
      <c r="B2876" s="3" t="s">
        <v>2411</v>
      </c>
      <c r="C2876" s="3" t="str">
        <f>"张煦"</f>
        <v>张煦</v>
      </c>
      <c r="D2876" s="3" t="s">
        <v>2589</v>
      </c>
    </row>
    <row r="2877" spans="1:4" ht="24.75" customHeight="1">
      <c r="A2877" s="3" t="str">
        <f>"34892021110813091047726"</f>
        <v>34892021110813091047726</v>
      </c>
      <c r="B2877" s="3" t="s">
        <v>2411</v>
      </c>
      <c r="C2877" s="3" t="str">
        <f>"邢增伟"</f>
        <v>邢增伟</v>
      </c>
      <c r="D2877" s="3" t="s">
        <v>767</v>
      </c>
    </row>
    <row r="2878" spans="1:4" ht="24.75" customHeight="1">
      <c r="A2878" s="3" t="str">
        <f>"34892021110815280147883"</f>
        <v>34892021110815280147883</v>
      </c>
      <c r="B2878" s="3" t="s">
        <v>2411</v>
      </c>
      <c r="C2878" s="3" t="str">
        <f>"唐萱妍"</f>
        <v>唐萱妍</v>
      </c>
      <c r="D2878" s="3" t="s">
        <v>1886</v>
      </c>
    </row>
    <row r="2879" spans="1:4" ht="24.75" customHeight="1">
      <c r="A2879" s="3" t="str">
        <f>"34892021110816054847930"</f>
        <v>34892021110816054847930</v>
      </c>
      <c r="B2879" s="3" t="s">
        <v>2411</v>
      </c>
      <c r="C2879" s="3" t="str">
        <f>"莫燕娇"</f>
        <v>莫燕娇</v>
      </c>
      <c r="D2879" s="3" t="s">
        <v>2590</v>
      </c>
    </row>
    <row r="2880" spans="1:4" ht="24.75" customHeight="1">
      <c r="A2880" s="3" t="str">
        <f>"34892021110816152847948"</f>
        <v>34892021110816152847948</v>
      </c>
      <c r="B2880" s="3" t="s">
        <v>2411</v>
      </c>
      <c r="C2880" s="3" t="str">
        <f>"赵蜀东"</f>
        <v>赵蜀东</v>
      </c>
      <c r="D2880" s="3" t="s">
        <v>2591</v>
      </c>
    </row>
    <row r="2881" spans="1:4" ht="24.75" customHeight="1">
      <c r="A2881" s="3" t="str">
        <f>"34892021110817215048055"</f>
        <v>34892021110817215048055</v>
      </c>
      <c r="B2881" s="3" t="s">
        <v>2411</v>
      </c>
      <c r="C2881" s="3" t="str">
        <f>"黄芳"</f>
        <v>黄芳</v>
      </c>
      <c r="D2881" s="3" t="s">
        <v>2592</v>
      </c>
    </row>
    <row r="2882" spans="1:4" ht="24.75" customHeight="1">
      <c r="A2882" s="3" t="str">
        <f>"34892021110817250548057"</f>
        <v>34892021110817250548057</v>
      </c>
      <c r="B2882" s="3" t="s">
        <v>2411</v>
      </c>
      <c r="C2882" s="3" t="str">
        <f>"于明宇"</f>
        <v>于明宇</v>
      </c>
      <c r="D2882" s="3" t="s">
        <v>2593</v>
      </c>
    </row>
    <row r="2883" spans="1:4" ht="24.75" customHeight="1">
      <c r="A2883" s="3" t="str">
        <f>"34892021110817300348068"</f>
        <v>34892021110817300348068</v>
      </c>
      <c r="B2883" s="3" t="s">
        <v>2411</v>
      </c>
      <c r="C2883" s="3" t="str">
        <f>"王上前"</f>
        <v>王上前</v>
      </c>
      <c r="D2883" s="3" t="s">
        <v>1160</v>
      </c>
    </row>
    <row r="2884" spans="1:4" ht="24.75" customHeight="1">
      <c r="A2884" s="3" t="str">
        <f>"34892021110817504448098"</f>
        <v>34892021110817504448098</v>
      </c>
      <c r="B2884" s="3" t="s">
        <v>2411</v>
      </c>
      <c r="C2884" s="3" t="str">
        <f>"符田秋"</f>
        <v>符田秋</v>
      </c>
      <c r="D2884" s="3" t="s">
        <v>744</v>
      </c>
    </row>
    <row r="2885" spans="1:4" ht="24.75" customHeight="1">
      <c r="A2885" s="3" t="str">
        <f>"34892021110817504648099"</f>
        <v>34892021110817504648099</v>
      </c>
      <c r="B2885" s="3" t="s">
        <v>2411</v>
      </c>
      <c r="C2885" s="3" t="str">
        <f>"康霞"</f>
        <v>康霞</v>
      </c>
      <c r="D2885" s="3" t="s">
        <v>2594</v>
      </c>
    </row>
    <row r="2886" spans="1:4" ht="24.75" customHeight="1">
      <c r="A2886" s="3" t="str">
        <f>"34892021110817562148104"</f>
        <v>34892021110817562148104</v>
      </c>
      <c r="B2886" s="3" t="s">
        <v>2411</v>
      </c>
      <c r="C2886" s="3" t="str">
        <f>"吴业真"</f>
        <v>吴业真</v>
      </c>
      <c r="D2886" s="3" t="s">
        <v>2595</v>
      </c>
    </row>
    <row r="2887" spans="1:4" ht="24.75" customHeight="1">
      <c r="A2887" s="3" t="str">
        <f>"34892021110817580348107"</f>
        <v>34892021110817580348107</v>
      </c>
      <c r="B2887" s="3" t="s">
        <v>2411</v>
      </c>
      <c r="C2887" s="3" t="str">
        <f>"曾德军"</f>
        <v>曾德军</v>
      </c>
      <c r="D2887" s="3" t="s">
        <v>150</v>
      </c>
    </row>
    <row r="2888" spans="1:4" ht="24.75" customHeight="1">
      <c r="A2888" s="3" t="str">
        <f>"34892021110818362748155"</f>
        <v>34892021110818362748155</v>
      </c>
      <c r="B2888" s="3" t="s">
        <v>2411</v>
      </c>
      <c r="C2888" s="3" t="str">
        <f>"曾德杰"</f>
        <v>曾德杰</v>
      </c>
      <c r="D2888" s="3" t="s">
        <v>2596</v>
      </c>
    </row>
    <row r="2889" spans="1:4" ht="24.75" customHeight="1">
      <c r="A2889" s="3" t="str">
        <f>"34892021110818545648173"</f>
        <v>34892021110818545648173</v>
      </c>
      <c r="B2889" s="3" t="s">
        <v>2411</v>
      </c>
      <c r="C2889" s="3" t="str">
        <f>"符贝贝"</f>
        <v>符贝贝</v>
      </c>
      <c r="D2889" s="3" t="s">
        <v>2597</v>
      </c>
    </row>
    <row r="2890" spans="1:4" ht="24.75" customHeight="1">
      <c r="A2890" s="3" t="str">
        <f>"34892021110819063248189"</f>
        <v>34892021110819063248189</v>
      </c>
      <c r="B2890" s="3" t="s">
        <v>2411</v>
      </c>
      <c r="C2890" s="3" t="str">
        <f>"徐成吉"</f>
        <v>徐成吉</v>
      </c>
      <c r="D2890" s="3" t="s">
        <v>2598</v>
      </c>
    </row>
    <row r="2891" spans="1:4" ht="24.75" customHeight="1">
      <c r="A2891" s="3" t="str">
        <f>"34892021110819372248230"</f>
        <v>34892021110819372248230</v>
      </c>
      <c r="B2891" s="3" t="s">
        <v>2411</v>
      </c>
      <c r="C2891" s="3" t="str">
        <f>"岑菲"</f>
        <v>岑菲</v>
      </c>
      <c r="D2891" s="3" t="s">
        <v>2599</v>
      </c>
    </row>
    <row r="2892" spans="1:4" ht="24.75" customHeight="1">
      <c r="A2892" s="3" t="str">
        <f>"34892021110819425148238"</f>
        <v>34892021110819425148238</v>
      </c>
      <c r="B2892" s="3" t="s">
        <v>2411</v>
      </c>
      <c r="C2892" s="3" t="str">
        <f>"王国旭"</f>
        <v>王国旭</v>
      </c>
      <c r="D2892" s="3" t="s">
        <v>2600</v>
      </c>
    </row>
    <row r="2893" spans="1:4" ht="24.75" customHeight="1">
      <c r="A2893" s="3" t="str">
        <f>"34892021110819434248240"</f>
        <v>34892021110819434248240</v>
      </c>
      <c r="B2893" s="3" t="s">
        <v>2411</v>
      </c>
      <c r="C2893" s="3" t="str">
        <f>"黎秀兵"</f>
        <v>黎秀兵</v>
      </c>
      <c r="D2893" s="3" t="s">
        <v>2601</v>
      </c>
    </row>
    <row r="2894" spans="1:4" ht="24.75" customHeight="1">
      <c r="A2894" s="3" t="str">
        <f>"34892021110819564148258"</f>
        <v>34892021110819564148258</v>
      </c>
      <c r="B2894" s="3" t="s">
        <v>2411</v>
      </c>
      <c r="C2894" s="3" t="str">
        <f>"王世钦"</f>
        <v>王世钦</v>
      </c>
      <c r="D2894" s="3" t="s">
        <v>2602</v>
      </c>
    </row>
    <row r="2895" spans="1:4" ht="24.75" customHeight="1">
      <c r="A2895" s="3" t="str">
        <f>"34892021110820394948347"</f>
        <v>34892021110820394948347</v>
      </c>
      <c r="B2895" s="3" t="s">
        <v>2411</v>
      </c>
      <c r="C2895" s="3" t="str">
        <f>"黎克书"</f>
        <v>黎克书</v>
      </c>
      <c r="D2895" s="3" t="s">
        <v>2603</v>
      </c>
    </row>
    <row r="2896" spans="1:4" ht="24.75" customHeight="1">
      <c r="A2896" s="3" t="str">
        <f>"34892021110820563848379"</f>
        <v>34892021110820563848379</v>
      </c>
      <c r="B2896" s="3" t="s">
        <v>2411</v>
      </c>
      <c r="C2896" s="3" t="str">
        <f>"吴育俊"</f>
        <v>吴育俊</v>
      </c>
      <c r="D2896" s="3" t="s">
        <v>2604</v>
      </c>
    </row>
    <row r="2897" spans="1:4" ht="24.75" customHeight="1">
      <c r="A2897" s="3" t="str">
        <f>"34892021110821533548487"</f>
        <v>34892021110821533548487</v>
      </c>
      <c r="B2897" s="3" t="s">
        <v>2411</v>
      </c>
      <c r="C2897" s="3" t="str">
        <f>"冯开阶"</f>
        <v>冯开阶</v>
      </c>
      <c r="D2897" s="3" t="s">
        <v>2605</v>
      </c>
    </row>
    <row r="2898" spans="1:4" ht="24.75" customHeight="1">
      <c r="A2898" s="3" t="str">
        <f>"34892021110822093548520"</f>
        <v>34892021110822093548520</v>
      </c>
      <c r="B2898" s="3" t="s">
        <v>2411</v>
      </c>
      <c r="C2898" s="3" t="str">
        <f>"唐业平"</f>
        <v>唐业平</v>
      </c>
      <c r="D2898" s="3" t="s">
        <v>2606</v>
      </c>
    </row>
    <row r="2899" spans="1:4" ht="24.75" customHeight="1">
      <c r="A2899" s="3" t="str">
        <f>"34892021110822111048522"</f>
        <v>34892021110822111048522</v>
      </c>
      <c r="B2899" s="3" t="s">
        <v>2411</v>
      </c>
      <c r="C2899" s="3" t="str">
        <f>"林聪芳"</f>
        <v>林聪芳</v>
      </c>
      <c r="D2899" s="3" t="s">
        <v>2607</v>
      </c>
    </row>
    <row r="2900" spans="1:4" ht="24.75" customHeight="1">
      <c r="A2900" s="3" t="str">
        <f>"34892021110823090148616"</f>
        <v>34892021110823090148616</v>
      </c>
      <c r="B2900" s="3" t="s">
        <v>2411</v>
      </c>
      <c r="C2900" s="3" t="str">
        <f>"王玲"</f>
        <v>王玲</v>
      </c>
      <c r="D2900" s="3" t="s">
        <v>2608</v>
      </c>
    </row>
    <row r="2901" spans="1:4" ht="24.75" customHeight="1">
      <c r="A2901" s="3" t="str">
        <f>"34892021110823450948660"</f>
        <v>34892021110823450948660</v>
      </c>
      <c r="B2901" s="3" t="s">
        <v>2411</v>
      </c>
      <c r="C2901" s="3" t="str">
        <f>"薛江艳"</f>
        <v>薛江艳</v>
      </c>
      <c r="D2901" s="3" t="s">
        <v>2609</v>
      </c>
    </row>
    <row r="2902" spans="1:4" ht="24.75" customHeight="1">
      <c r="A2902" s="3" t="str">
        <f>"34892021110900112348682"</f>
        <v>34892021110900112348682</v>
      </c>
      <c r="B2902" s="3" t="s">
        <v>2411</v>
      </c>
      <c r="C2902" s="3" t="str">
        <f>"王进豪"</f>
        <v>王进豪</v>
      </c>
      <c r="D2902" s="3" t="s">
        <v>2610</v>
      </c>
    </row>
    <row r="2903" spans="1:4" ht="24.75" customHeight="1">
      <c r="A2903" s="3" t="str">
        <f>"34892021110900505348700"</f>
        <v>34892021110900505348700</v>
      </c>
      <c r="B2903" s="3" t="s">
        <v>2411</v>
      </c>
      <c r="C2903" s="3" t="str">
        <f>"张敏聪"</f>
        <v>张敏聪</v>
      </c>
      <c r="D2903" s="3" t="s">
        <v>2611</v>
      </c>
    </row>
    <row r="2904" spans="1:4" ht="24.75" customHeight="1">
      <c r="A2904" s="3" t="str">
        <f>"34892021110902171548713"</f>
        <v>34892021110902171548713</v>
      </c>
      <c r="B2904" s="3" t="s">
        <v>2411</v>
      </c>
      <c r="C2904" s="3" t="str">
        <f>"陈琳"</f>
        <v>陈琳</v>
      </c>
      <c r="D2904" s="3" t="s">
        <v>646</v>
      </c>
    </row>
    <row r="2905" spans="1:4" ht="24.75" customHeight="1">
      <c r="A2905" s="3" t="str">
        <f>"34892021110908474848788"</f>
        <v>34892021110908474848788</v>
      </c>
      <c r="B2905" s="3" t="s">
        <v>2411</v>
      </c>
      <c r="C2905" s="3" t="str">
        <f>"叶文熊"</f>
        <v>叶文熊</v>
      </c>
      <c r="D2905" s="3" t="s">
        <v>2612</v>
      </c>
    </row>
    <row r="2906" spans="1:4" ht="24.75" customHeight="1">
      <c r="A2906" s="3" t="str">
        <f>"34892021110909082948815"</f>
        <v>34892021110909082948815</v>
      </c>
      <c r="B2906" s="3" t="s">
        <v>2411</v>
      </c>
      <c r="C2906" s="3" t="str">
        <f>"江成"</f>
        <v>江成</v>
      </c>
      <c r="D2906" s="3" t="s">
        <v>2613</v>
      </c>
    </row>
    <row r="2907" spans="1:4" ht="24.75" customHeight="1">
      <c r="A2907" s="3" t="str">
        <f>"34892021110909130248829"</f>
        <v>34892021110909130248829</v>
      </c>
      <c r="B2907" s="3" t="s">
        <v>2411</v>
      </c>
      <c r="C2907" s="3" t="str">
        <f>"王祚龙"</f>
        <v>王祚龙</v>
      </c>
      <c r="D2907" s="3" t="s">
        <v>2614</v>
      </c>
    </row>
    <row r="2908" spans="1:4" ht="24.75" customHeight="1">
      <c r="A2908" s="3" t="str">
        <f>"34892021110909332448864"</f>
        <v>34892021110909332448864</v>
      </c>
      <c r="B2908" s="3" t="s">
        <v>2411</v>
      </c>
      <c r="C2908" s="3" t="str">
        <f>"苏娇丽"</f>
        <v>苏娇丽</v>
      </c>
      <c r="D2908" s="3" t="s">
        <v>2615</v>
      </c>
    </row>
    <row r="2909" spans="1:4" ht="24.75" customHeight="1">
      <c r="A2909" s="3" t="str">
        <f>"34892021110910184748951"</f>
        <v>34892021110910184748951</v>
      </c>
      <c r="B2909" s="3" t="s">
        <v>2411</v>
      </c>
      <c r="C2909" s="3" t="str">
        <f>"黄泽龙"</f>
        <v>黄泽龙</v>
      </c>
      <c r="D2909" s="3" t="s">
        <v>2616</v>
      </c>
    </row>
    <row r="2910" spans="1:4" ht="24.75" customHeight="1">
      <c r="A2910" s="3" t="str">
        <f>"34892021110910215348955"</f>
        <v>34892021110910215348955</v>
      </c>
      <c r="B2910" s="3" t="s">
        <v>2411</v>
      </c>
      <c r="C2910" s="3" t="str">
        <f>"吉世宁"</f>
        <v>吉世宁</v>
      </c>
      <c r="D2910" s="3" t="s">
        <v>2617</v>
      </c>
    </row>
    <row r="2911" spans="1:4" ht="24.75" customHeight="1">
      <c r="A2911" s="3" t="str">
        <f>"34892021110910364048984"</f>
        <v>34892021110910364048984</v>
      </c>
      <c r="B2911" s="3" t="s">
        <v>2411</v>
      </c>
      <c r="C2911" s="3" t="str">
        <f>"王智能"</f>
        <v>王智能</v>
      </c>
      <c r="D2911" s="3" t="s">
        <v>2618</v>
      </c>
    </row>
    <row r="2912" spans="1:4" ht="24.75" customHeight="1">
      <c r="A2912" s="3" t="str">
        <f>"34892021110911323949077"</f>
        <v>34892021110911323949077</v>
      </c>
      <c r="B2912" s="3" t="s">
        <v>2411</v>
      </c>
      <c r="C2912" s="3" t="str">
        <f>"李铮男"</f>
        <v>李铮男</v>
      </c>
      <c r="D2912" s="3" t="s">
        <v>2619</v>
      </c>
    </row>
    <row r="2913" spans="1:4" ht="24.75" customHeight="1">
      <c r="A2913" s="3" t="str">
        <f>"34892021110912393549136"</f>
        <v>34892021110912393549136</v>
      </c>
      <c r="B2913" s="3" t="s">
        <v>2411</v>
      </c>
      <c r="C2913" s="3" t="str">
        <f>"吴忠琴"</f>
        <v>吴忠琴</v>
      </c>
      <c r="D2913" s="3" t="s">
        <v>2327</v>
      </c>
    </row>
    <row r="2914" spans="1:4" ht="24.75" customHeight="1">
      <c r="A2914" s="3" t="str">
        <f>"34892021110913271049181"</f>
        <v>34892021110913271049181</v>
      </c>
      <c r="B2914" s="3" t="s">
        <v>2411</v>
      </c>
      <c r="C2914" s="3" t="str">
        <f>"冯拂晓"</f>
        <v>冯拂晓</v>
      </c>
      <c r="D2914" s="3" t="s">
        <v>2620</v>
      </c>
    </row>
    <row r="2915" spans="1:4" ht="24.75" customHeight="1">
      <c r="A2915" s="3" t="str">
        <f>"34892021110914221749210"</f>
        <v>34892021110914221749210</v>
      </c>
      <c r="B2915" s="3" t="s">
        <v>2411</v>
      </c>
      <c r="C2915" s="3" t="str">
        <f>"徐亮"</f>
        <v>徐亮</v>
      </c>
      <c r="D2915" s="3" t="s">
        <v>2621</v>
      </c>
    </row>
    <row r="2916" spans="1:4" ht="24.75" customHeight="1">
      <c r="A2916" s="3" t="str">
        <f>"34892021110915281049284"</f>
        <v>34892021110915281049284</v>
      </c>
      <c r="B2916" s="3" t="s">
        <v>2411</v>
      </c>
      <c r="C2916" s="3" t="str">
        <f>"梅向南"</f>
        <v>梅向南</v>
      </c>
      <c r="D2916" s="3" t="s">
        <v>2622</v>
      </c>
    </row>
    <row r="2917" spans="1:4" ht="24.75" customHeight="1">
      <c r="A2917" s="3" t="str">
        <f>"34892021110916064849342"</f>
        <v>34892021110916064849342</v>
      </c>
      <c r="B2917" s="3" t="s">
        <v>2411</v>
      </c>
      <c r="C2917" s="3" t="str">
        <f>"黄琳"</f>
        <v>黄琳</v>
      </c>
      <c r="D2917" s="3" t="s">
        <v>2623</v>
      </c>
    </row>
    <row r="2918" spans="1:4" ht="24.75" customHeight="1">
      <c r="A2918" s="3" t="str">
        <f>"34892021110916235749373"</f>
        <v>34892021110916235749373</v>
      </c>
      <c r="B2918" s="3" t="s">
        <v>2411</v>
      </c>
      <c r="C2918" s="3" t="str">
        <f>"林静霆"</f>
        <v>林静霆</v>
      </c>
      <c r="D2918" s="3" t="s">
        <v>2624</v>
      </c>
    </row>
    <row r="2919" spans="1:4" ht="24.75" customHeight="1">
      <c r="A2919" s="3" t="str">
        <f>"34892021110916584149404"</f>
        <v>34892021110916584149404</v>
      </c>
      <c r="B2919" s="3" t="s">
        <v>2411</v>
      </c>
      <c r="C2919" s="3" t="str">
        <f>"刘娜"</f>
        <v>刘娜</v>
      </c>
      <c r="D2919" s="3" t="s">
        <v>2625</v>
      </c>
    </row>
    <row r="2920" spans="1:4" ht="24.75" customHeight="1">
      <c r="A2920" s="3" t="str">
        <f>"34892021110916593149405"</f>
        <v>34892021110916593149405</v>
      </c>
      <c r="B2920" s="3" t="s">
        <v>2411</v>
      </c>
      <c r="C2920" s="3" t="str">
        <f>"曾学香"</f>
        <v>曾学香</v>
      </c>
      <c r="D2920" s="3" t="s">
        <v>2626</v>
      </c>
    </row>
    <row r="2921" spans="1:4" ht="24.75" customHeight="1">
      <c r="A2921" s="3" t="str">
        <f>"34892021110309145737600"</f>
        <v>34892021110309145737600</v>
      </c>
      <c r="B2921" s="3" t="s">
        <v>2627</v>
      </c>
      <c r="C2921" s="3" t="str">
        <f>"何允续"</f>
        <v>何允续</v>
      </c>
      <c r="D2921" s="3" t="s">
        <v>2628</v>
      </c>
    </row>
    <row r="2922" spans="1:4" ht="24.75" customHeight="1">
      <c r="A2922" s="3" t="str">
        <f>"34892021110309303637763"</f>
        <v>34892021110309303637763</v>
      </c>
      <c r="B2922" s="3" t="s">
        <v>2627</v>
      </c>
      <c r="C2922" s="3" t="str">
        <f>"王妙然"</f>
        <v>王妙然</v>
      </c>
      <c r="D2922" s="3" t="s">
        <v>2629</v>
      </c>
    </row>
    <row r="2923" spans="1:4" ht="24.75" customHeight="1">
      <c r="A2923" s="3" t="str">
        <f>"34892021110309441937890"</f>
        <v>34892021110309441937890</v>
      </c>
      <c r="B2923" s="3" t="s">
        <v>2627</v>
      </c>
      <c r="C2923" s="3" t="str">
        <f>"吴蕙苡"</f>
        <v>吴蕙苡</v>
      </c>
      <c r="D2923" s="3" t="s">
        <v>2630</v>
      </c>
    </row>
    <row r="2924" spans="1:4" ht="24.75" customHeight="1">
      <c r="A2924" s="3" t="str">
        <f>"34892021110309460837910"</f>
        <v>34892021110309460837910</v>
      </c>
      <c r="B2924" s="3" t="s">
        <v>2627</v>
      </c>
      <c r="C2924" s="3" t="str">
        <f>"关业梓"</f>
        <v>关业梓</v>
      </c>
      <c r="D2924" s="3" t="s">
        <v>2631</v>
      </c>
    </row>
    <row r="2925" spans="1:4" ht="24.75" customHeight="1">
      <c r="A2925" s="3" t="str">
        <f>"34892021110310124138161"</f>
        <v>34892021110310124138161</v>
      </c>
      <c r="B2925" s="3" t="s">
        <v>2627</v>
      </c>
      <c r="C2925" s="3" t="str">
        <f>"陈博钰"</f>
        <v>陈博钰</v>
      </c>
      <c r="D2925" s="3" t="s">
        <v>2632</v>
      </c>
    </row>
    <row r="2926" spans="1:4" ht="24.75" customHeight="1">
      <c r="A2926" s="3" t="str">
        <f>"34892021110310421538429"</f>
        <v>34892021110310421538429</v>
      </c>
      <c r="B2926" s="3" t="s">
        <v>2627</v>
      </c>
      <c r="C2926" s="3" t="str">
        <f>"洪后余"</f>
        <v>洪后余</v>
      </c>
      <c r="D2926" s="3" t="s">
        <v>2633</v>
      </c>
    </row>
    <row r="2927" spans="1:4" ht="24.75" customHeight="1">
      <c r="A2927" s="3" t="str">
        <f>"34892021110311271638789"</f>
        <v>34892021110311271638789</v>
      </c>
      <c r="B2927" s="3" t="s">
        <v>2627</v>
      </c>
      <c r="C2927" s="3" t="str">
        <f>"何娇静"</f>
        <v>何娇静</v>
      </c>
      <c r="D2927" s="3" t="s">
        <v>2634</v>
      </c>
    </row>
    <row r="2928" spans="1:4" ht="24.75" customHeight="1">
      <c r="A2928" s="3" t="str">
        <f>"34892021110311361938856"</f>
        <v>34892021110311361938856</v>
      </c>
      <c r="B2928" s="3" t="s">
        <v>2627</v>
      </c>
      <c r="C2928" s="3" t="str">
        <f>"费泓瑜"</f>
        <v>费泓瑜</v>
      </c>
      <c r="D2928" s="3" t="s">
        <v>2635</v>
      </c>
    </row>
    <row r="2929" spans="1:4" ht="24.75" customHeight="1">
      <c r="A2929" s="3" t="str">
        <f>"34892021110311390438875"</f>
        <v>34892021110311390438875</v>
      </c>
      <c r="B2929" s="3" t="s">
        <v>2627</v>
      </c>
      <c r="C2929" s="3" t="str">
        <f>"倪俊香"</f>
        <v>倪俊香</v>
      </c>
      <c r="D2929" s="3" t="s">
        <v>2636</v>
      </c>
    </row>
    <row r="2930" spans="1:4" ht="24.75" customHeight="1">
      <c r="A2930" s="3" t="str">
        <f>"34892021110311462738929"</f>
        <v>34892021110311462738929</v>
      </c>
      <c r="B2930" s="3" t="s">
        <v>2627</v>
      </c>
      <c r="C2930" s="3" t="str">
        <f>"王芝"</f>
        <v>王芝</v>
      </c>
      <c r="D2930" s="3" t="s">
        <v>2637</v>
      </c>
    </row>
    <row r="2931" spans="1:4" ht="24.75" customHeight="1">
      <c r="A2931" s="3" t="str">
        <f>"34892021110311510338963"</f>
        <v>34892021110311510338963</v>
      </c>
      <c r="B2931" s="3" t="s">
        <v>2627</v>
      </c>
      <c r="C2931" s="3" t="str">
        <f>"朱泳霏"</f>
        <v>朱泳霏</v>
      </c>
      <c r="D2931" s="3" t="s">
        <v>2638</v>
      </c>
    </row>
    <row r="2932" spans="1:4" ht="24.75" customHeight="1">
      <c r="A2932" s="3" t="str">
        <f>"34892021110313262239548"</f>
        <v>34892021110313262239548</v>
      </c>
      <c r="B2932" s="3" t="s">
        <v>2627</v>
      </c>
      <c r="C2932" s="3" t="str">
        <f>"吴晓莹"</f>
        <v>吴晓莹</v>
      </c>
      <c r="D2932" s="3" t="s">
        <v>2460</v>
      </c>
    </row>
    <row r="2933" spans="1:4" ht="24.75" customHeight="1">
      <c r="A2933" s="3" t="str">
        <f>"34892021110313273339556"</f>
        <v>34892021110313273339556</v>
      </c>
      <c r="B2933" s="3" t="s">
        <v>2627</v>
      </c>
      <c r="C2933" s="3" t="str">
        <f>"李海山"</f>
        <v>李海山</v>
      </c>
      <c r="D2933" s="3" t="s">
        <v>2639</v>
      </c>
    </row>
    <row r="2934" spans="1:4" ht="24.75" customHeight="1">
      <c r="A2934" s="3" t="str">
        <f>"34892021110314274839860"</f>
        <v>34892021110314274839860</v>
      </c>
      <c r="B2934" s="3" t="s">
        <v>2627</v>
      </c>
      <c r="C2934" s="3" t="str">
        <f>"徐琼华"</f>
        <v>徐琼华</v>
      </c>
      <c r="D2934" s="3" t="s">
        <v>2640</v>
      </c>
    </row>
    <row r="2935" spans="1:4" ht="24.75" customHeight="1">
      <c r="A2935" s="3" t="str">
        <f>"34892021110314543940068"</f>
        <v>34892021110314543940068</v>
      </c>
      <c r="B2935" s="3" t="s">
        <v>2627</v>
      </c>
      <c r="C2935" s="3" t="str">
        <f>"赵妹菊"</f>
        <v>赵妹菊</v>
      </c>
      <c r="D2935" s="3" t="s">
        <v>498</v>
      </c>
    </row>
    <row r="2936" spans="1:4" ht="24.75" customHeight="1">
      <c r="A2936" s="3" t="str">
        <f>"34892021110315023140129"</f>
        <v>34892021110315023140129</v>
      </c>
      <c r="B2936" s="3" t="s">
        <v>2627</v>
      </c>
      <c r="C2936" s="3" t="str">
        <f>"曾兰茜"</f>
        <v>曾兰茜</v>
      </c>
      <c r="D2936" s="3" t="s">
        <v>2641</v>
      </c>
    </row>
    <row r="2937" spans="1:4" ht="24.75" customHeight="1">
      <c r="A2937" s="3" t="str">
        <f>"34892021110315062840175"</f>
        <v>34892021110315062840175</v>
      </c>
      <c r="B2937" s="3" t="s">
        <v>2627</v>
      </c>
      <c r="C2937" s="3" t="str">
        <f>"邱班兴"</f>
        <v>邱班兴</v>
      </c>
      <c r="D2937" s="3" t="s">
        <v>2642</v>
      </c>
    </row>
    <row r="2938" spans="1:4" ht="24.75" customHeight="1">
      <c r="A2938" s="3" t="str">
        <f>"34892021110315075540188"</f>
        <v>34892021110315075540188</v>
      </c>
      <c r="B2938" s="3" t="s">
        <v>2627</v>
      </c>
      <c r="C2938" s="3" t="str">
        <f>"王晓婷"</f>
        <v>王晓婷</v>
      </c>
      <c r="D2938" s="3" t="s">
        <v>2643</v>
      </c>
    </row>
    <row r="2939" spans="1:4" ht="24.75" customHeight="1">
      <c r="A2939" s="3" t="str">
        <f>"34892021110315204440298"</f>
        <v>34892021110315204440298</v>
      </c>
      <c r="B2939" s="3" t="s">
        <v>2627</v>
      </c>
      <c r="C2939" s="3" t="str">
        <f>"赵颖"</f>
        <v>赵颖</v>
      </c>
      <c r="D2939" s="3" t="s">
        <v>2644</v>
      </c>
    </row>
    <row r="2940" spans="1:4" ht="24.75" customHeight="1">
      <c r="A2940" s="3" t="str">
        <f>"34892021110315351540407"</f>
        <v>34892021110315351540407</v>
      </c>
      <c r="B2940" s="3" t="s">
        <v>2627</v>
      </c>
      <c r="C2940" s="3" t="str">
        <f>"李茂文"</f>
        <v>李茂文</v>
      </c>
      <c r="D2940" s="3" t="s">
        <v>2645</v>
      </c>
    </row>
    <row r="2941" spans="1:4" ht="24.75" customHeight="1">
      <c r="A2941" s="3" t="str">
        <f>"34892021110316094940662"</f>
        <v>34892021110316094940662</v>
      </c>
      <c r="B2941" s="3" t="s">
        <v>2627</v>
      </c>
      <c r="C2941" s="3" t="str">
        <f>"王莉"</f>
        <v>王莉</v>
      </c>
      <c r="D2941" s="3" t="s">
        <v>2646</v>
      </c>
    </row>
    <row r="2942" spans="1:4" ht="24.75" customHeight="1">
      <c r="A2942" s="3" t="str">
        <f>"34892021110316201140743"</f>
        <v>34892021110316201140743</v>
      </c>
      <c r="B2942" s="3" t="s">
        <v>2627</v>
      </c>
      <c r="C2942" s="3" t="str">
        <f>"陈斌"</f>
        <v>陈斌</v>
      </c>
      <c r="D2942" s="3" t="s">
        <v>2647</v>
      </c>
    </row>
    <row r="2943" spans="1:4" ht="24.75" customHeight="1">
      <c r="A2943" s="3" t="str">
        <f>"34892021110316270040794"</f>
        <v>34892021110316270040794</v>
      </c>
      <c r="B2943" s="3" t="s">
        <v>2627</v>
      </c>
      <c r="C2943" s="3" t="str">
        <f>"符发娥"</f>
        <v>符发娥</v>
      </c>
      <c r="D2943" s="3" t="s">
        <v>170</v>
      </c>
    </row>
    <row r="2944" spans="1:4" ht="24.75" customHeight="1">
      <c r="A2944" s="3" t="str">
        <f>"34892021110316274040798"</f>
        <v>34892021110316274040798</v>
      </c>
      <c r="B2944" s="3" t="s">
        <v>2627</v>
      </c>
      <c r="C2944" s="3" t="str">
        <f>"刘颜"</f>
        <v>刘颜</v>
      </c>
      <c r="D2944" s="3" t="s">
        <v>2648</v>
      </c>
    </row>
    <row r="2945" spans="1:4" ht="24.75" customHeight="1">
      <c r="A2945" s="3" t="str">
        <f>"34892021110316334540839"</f>
        <v>34892021110316334540839</v>
      </c>
      <c r="B2945" s="3" t="s">
        <v>2627</v>
      </c>
      <c r="C2945" s="3" t="str">
        <f>"梁小宝"</f>
        <v>梁小宝</v>
      </c>
      <c r="D2945" s="3" t="s">
        <v>2649</v>
      </c>
    </row>
    <row r="2946" spans="1:4" ht="24.75" customHeight="1">
      <c r="A2946" s="3" t="str">
        <f>"34892021110317033141025"</f>
        <v>34892021110317033141025</v>
      </c>
      <c r="B2946" s="3" t="s">
        <v>2627</v>
      </c>
      <c r="C2946" s="3" t="str">
        <f>"朱有信"</f>
        <v>朱有信</v>
      </c>
      <c r="D2946" s="3" t="s">
        <v>2650</v>
      </c>
    </row>
    <row r="2947" spans="1:4" ht="24.75" customHeight="1">
      <c r="A2947" s="3" t="str">
        <f>"34892021110317041341028"</f>
        <v>34892021110317041341028</v>
      </c>
      <c r="B2947" s="3" t="s">
        <v>2627</v>
      </c>
      <c r="C2947" s="3" t="str">
        <f>"王大福"</f>
        <v>王大福</v>
      </c>
      <c r="D2947" s="3" t="s">
        <v>1608</v>
      </c>
    </row>
    <row r="2948" spans="1:4" ht="24.75" customHeight="1">
      <c r="A2948" s="3" t="str">
        <f>"34892021110317045041030"</f>
        <v>34892021110317045041030</v>
      </c>
      <c r="B2948" s="3" t="s">
        <v>2627</v>
      </c>
      <c r="C2948" s="3" t="str">
        <f>"陈起伟"</f>
        <v>陈起伟</v>
      </c>
      <c r="D2948" s="3" t="s">
        <v>2651</v>
      </c>
    </row>
    <row r="2949" spans="1:4" ht="24.75" customHeight="1">
      <c r="A2949" s="3" t="str">
        <f>"34892021110317193641115"</f>
        <v>34892021110317193641115</v>
      </c>
      <c r="B2949" s="3" t="s">
        <v>2627</v>
      </c>
      <c r="C2949" s="3" t="str">
        <f>"陶美洁"</f>
        <v>陶美洁</v>
      </c>
      <c r="D2949" s="3" t="s">
        <v>2652</v>
      </c>
    </row>
    <row r="2950" spans="1:4" ht="24.75" customHeight="1">
      <c r="A2950" s="3" t="str">
        <f>"34892021110317385541190"</f>
        <v>34892021110317385541190</v>
      </c>
      <c r="B2950" s="3" t="s">
        <v>2627</v>
      </c>
      <c r="C2950" s="3" t="str">
        <f>"骆美明"</f>
        <v>骆美明</v>
      </c>
      <c r="D2950" s="3" t="s">
        <v>2653</v>
      </c>
    </row>
    <row r="2951" spans="1:4" ht="24.75" customHeight="1">
      <c r="A2951" s="3" t="str">
        <f>"34892021110318163841281"</f>
        <v>34892021110318163841281</v>
      </c>
      <c r="B2951" s="3" t="s">
        <v>2627</v>
      </c>
      <c r="C2951" s="3" t="str">
        <f>"吴淑民"</f>
        <v>吴淑民</v>
      </c>
      <c r="D2951" s="3" t="s">
        <v>2654</v>
      </c>
    </row>
    <row r="2952" spans="1:4" ht="24.75" customHeight="1">
      <c r="A2952" s="3" t="str">
        <f>"34892021110318532341364"</f>
        <v>34892021110318532341364</v>
      </c>
      <c r="B2952" s="3" t="s">
        <v>2627</v>
      </c>
      <c r="C2952" s="3" t="str">
        <f>"李景岛"</f>
        <v>李景岛</v>
      </c>
      <c r="D2952" s="3" t="s">
        <v>689</v>
      </c>
    </row>
    <row r="2953" spans="1:4" ht="24.75" customHeight="1">
      <c r="A2953" s="3" t="str">
        <f>"34892021110319055141387"</f>
        <v>34892021110319055141387</v>
      </c>
      <c r="B2953" s="3" t="s">
        <v>2627</v>
      </c>
      <c r="C2953" s="3" t="str">
        <f>"石英健"</f>
        <v>石英健</v>
      </c>
      <c r="D2953" s="3" t="s">
        <v>2655</v>
      </c>
    </row>
    <row r="2954" spans="1:4" ht="24.75" customHeight="1">
      <c r="A2954" s="3" t="str">
        <f>"34892021110319253841436"</f>
        <v>34892021110319253841436</v>
      </c>
      <c r="B2954" s="3" t="s">
        <v>2627</v>
      </c>
      <c r="C2954" s="3" t="str">
        <f>"陈成玉"</f>
        <v>陈成玉</v>
      </c>
      <c r="D2954" s="3" t="s">
        <v>2656</v>
      </c>
    </row>
    <row r="2955" spans="1:4" ht="24.75" customHeight="1">
      <c r="A2955" s="3" t="str">
        <f>"34892021110319381641465"</f>
        <v>34892021110319381641465</v>
      </c>
      <c r="B2955" s="3" t="s">
        <v>2627</v>
      </c>
      <c r="C2955" s="3" t="str">
        <f>"唐伟森"</f>
        <v>唐伟森</v>
      </c>
      <c r="D2955" s="3" t="s">
        <v>2657</v>
      </c>
    </row>
    <row r="2956" spans="1:4" ht="24.75" customHeight="1">
      <c r="A2956" s="3" t="str">
        <f>"34892021110319534641506"</f>
        <v>34892021110319534641506</v>
      </c>
      <c r="B2956" s="3" t="s">
        <v>2627</v>
      </c>
      <c r="C2956" s="3" t="str">
        <f>"谢丽莲"</f>
        <v>谢丽莲</v>
      </c>
      <c r="D2956" s="3" t="s">
        <v>1641</v>
      </c>
    </row>
    <row r="2957" spans="1:4" ht="24.75" customHeight="1">
      <c r="A2957" s="3" t="str">
        <f>"34892021110320303841611"</f>
        <v>34892021110320303841611</v>
      </c>
      <c r="B2957" s="3" t="s">
        <v>2627</v>
      </c>
      <c r="C2957" s="3" t="str">
        <f>"欧哲伟"</f>
        <v>欧哲伟</v>
      </c>
      <c r="D2957" s="3" t="s">
        <v>2658</v>
      </c>
    </row>
    <row r="2958" spans="1:4" ht="24.75" customHeight="1">
      <c r="A2958" s="3" t="str">
        <f>"34892021110321025941718"</f>
        <v>34892021110321025941718</v>
      </c>
      <c r="B2958" s="3" t="s">
        <v>2627</v>
      </c>
      <c r="C2958" s="3" t="str">
        <f>"文云涛"</f>
        <v>文云涛</v>
      </c>
      <c r="D2958" s="3" t="s">
        <v>2659</v>
      </c>
    </row>
    <row r="2959" spans="1:4" ht="24.75" customHeight="1">
      <c r="A2959" s="3" t="str">
        <f>"34892021110321093641745"</f>
        <v>34892021110321093641745</v>
      </c>
      <c r="B2959" s="3" t="s">
        <v>2627</v>
      </c>
      <c r="C2959" s="3" t="str">
        <f>"岑文静"</f>
        <v>岑文静</v>
      </c>
      <c r="D2959" s="3" t="s">
        <v>964</v>
      </c>
    </row>
    <row r="2960" spans="1:4" ht="24.75" customHeight="1">
      <c r="A2960" s="3" t="str">
        <f>"34892021110321380641828"</f>
        <v>34892021110321380641828</v>
      </c>
      <c r="B2960" s="3" t="s">
        <v>2627</v>
      </c>
      <c r="C2960" s="3" t="str">
        <f>"曾尊"</f>
        <v>曾尊</v>
      </c>
      <c r="D2960" s="3" t="s">
        <v>2660</v>
      </c>
    </row>
    <row r="2961" spans="1:4" ht="24.75" customHeight="1">
      <c r="A2961" s="3" t="str">
        <f>"34892021110321415641840"</f>
        <v>34892021110321415641840</v>
      </c>
      <c r="B2961" s="3" t="s">
        <v>2627</v>
      </c>
      <c r="C2961" s="3" t="str">
        <f>"陈小朝"</f>
        <v>陈小朝</v>
      </c>
      <c r="D2961" s="3" t="s">
        <v>2661</v>
      </c>
    </row>
    <row r="2962" spans="1:4" ht="24.75" customHeight="1">
      <c r="A2962" s="3" t="str">
        <f>"34892021110322004041899"</f>
        <v>34892021110322004041899</v>
      </c>
      <c r="B2962" s="3" t="s">
        <v>2627</v>
      </c>
      <c r="C2962" s="3" t="str">
        <f>"洪绵鹏"</f>
        <v>洪绵鹏</v>
      </c>
      <c r="D2962" s="3" t="s">
        <v>2662</v>
      </c>
    </row>
    <row r="2963" spans="1:4" ht="24.75" customHeight="1">
      <c r="A2963" s="3" t="str">
        <f>"34892021110322391042015"</f>
        <v>34892021110322391042015</v>
      </c>
      <c r="B2963" s="3" t="s">
        <v>2627</v>
      </c>
      <c r="C2963" s="3" t="str">
        <f>"黄德庄"</f>
        <v>黄德庄</v>
      </c>
      <c r="D2963" s="3" t="s">
        <v>2663</v>
      </c>
    </row>
    <row r="2964" spans="1:4" ht="24.75" customHeight="1">
      <c r="A2964" s="3" t="str">
        <f>"34892021110322575642062"</f>
        <v>34892021110322575642062</v>
      </c>
      <c r="B2964" s="3" t="s">
        <v>2627</v>
      </c>
      <c r="C2964" s="3" t="str">
        <f>"黄亚萍"</f>
        <v>黄亚萍</v>
      </c>
      <c r="D2964" s="3" t="s">
        <v>2664</v>
      </c>
    </row>
    <row r="2965" spans="1:4" ht="24.75" customHeight="1">
      <c r="A2965" s="3" t="str">
        <f>"34892021110400424242196"</f>
        <v>34892021110400424242196</v>
      </c>
      <c r="B2965" s="3" t="s">
        <v>2627</v>
      </c>
      <c r="C2965" s="3" t="str">
        <f>"陈鉴"</f>
        <v>陈鉴</v>
      </c>
      <c r="D2965" s="3" t="s">
        <v>2665</v>
      </c>
    </row>
    <row r="2966" spans="1:4" ht="24.75" customHeight="1">
      <c r="A2966" s="3" t="str">
        <f>"34892021110404512842238"</f>
        <v>34892021110404512842238</v>
      </c>
      <c r="B2966" s="3" t="s">
        <v>2627</v>
      </c>
      <c r="C2966" s="3" t="str">
        <f>"文随方"</f>
        <v>文随方</v>
      </c>
      <c r="D2966" s="3" t="s">
        <v>2666</v>
      </c>
    </row>
    <row r="2967" spans="1:4" ht="24.75" customHeight="1">
      <c r="A2967" s="3" t="str">
        <f>"34892021110408001842259"</f>
        <v>34892021110408001842259</v>
      </c>
      <c r="B2967" s="3" t="s">
        <v>2627</v>
      </c>
      <c r="C2967" s="3" t="str">
        <f>"郑天琪"</f>
        <v>郑天琪</v>
      </c>
      <c r="D2967" s="3" t="s">
        <v>2667</v>
      </c>
    </row>
    <row r="2968" spans="1:4" ht="24.75" customHeight="1">
      <c r="A2968" s="3" t="str">
        <f>"34892021110408413642324"</f>
        <v>34892021110408413642324</v>
      </c>
      <c r="B2968" s="3" t="s">
        <v>2627</v>
      </c>
      <c r="C2968" s="3" t="str">
        <f>"陈荣禄"</f>
        <v>陈荣禄</v>
      </c>
      <c r="D2968" s="3" t="s">
        <v>1167</v>
      </c>
    </row>
    <row r="2969" spans="1:4" ht="24.75" customHeight="1">
      <c r="A2969" s="3" t="str">
        <f>"34892021110408521742349"</f>
        <v>34892021110408521742349</v>
      </c>
      <c r="B2969" s="3" t="s">
        <v>2627</v>
      </c>
      <c r="C2969" s="3" t="str">
        <f>"蔡敏"</f>
        <v>蔡敏</v>
      </c>
      <c r="D2969" s="3" t="s">
        <v>2668</v>
      </c>
    </row>
    <row r="2970" spans="1:4" ht="24.75" customHeight="1">
      <c r="A2970" s="3" t="str">
        <f>"34892021110409050142383"</f>
        <v>34892021110409050142383</v>
      </c>
      <c r="B2970" s="3" t="s">
        <v>2627</v>
      </c>
      <c r="C2970" s="3" t="str">
        <f>"周秋娜"</f>
        <v>周秋娜</v>
      </c>
      <c r="D2970" s="3" t="s">
        <v>2669</v>
      </c>
    </row>
    <row r="2971" spans="1:4" ht="24.75" customHeight="1">
      <c r="A2971" s="3" t="str">
        <f>"34892021110409230142439"</f>
        <v>34892021110409230142439</v>
      </c>
      <c r="B2971" s="3" t="s">
        <v>2627</v>
      </c>
      <c r="C2971" s="3" t="str">
        <f>"方超"</f>
        <v>方超</v>
      </c>
      <c r="D2971" s="3" t="s">
        <v>2670</v>
      </c>
    </row>
    <row r="2972" spans="1:4" ht="24.75" customHeight="1">
      <c r="A2972" s="3" t="str">
        <f>"34892021110409233142440"</f>
        <v>34892021110409233142440</v>
      </c>
      <c r="B2972" s="3" t="s">
        <v>2627</v>
      </c>
      <c r="C2972" s="3" t="str">
        <f>"巫家俊"</f>
        <v>巫家俊</v>
      </c>
      <c r="D2972" s="3" t="s">
        <v>2671</v>
      </c>
    </row>
    <row r="2973" spans="1:4" ht="24.75" customHeight="1">
      <c r="A2973" s="3" t="str">
        <f>"34892021110409235842445"</f>
        <v>34892021110409235842445</v>
      </c>
      <c r="B2973" s="3" t="s">
        <v>2627</v>
      </c>
      <c r="C2973" s="3" t="str">
        <f>"符虹雨"</f>
        <v>符虹雨</v>
      </c>
      <c r="D2973" s="3" t="s">
        <v>2672</v>
      </c>
    </row>
    <row r="2974" spans="1:4" ht="24.75" customHeight="1">
      <c r="A2974" s="3" t="str">
        <f>"34892021110409361742477"</f>
        <v>34892021110409361742477</v>
      </c>
      <c r="B2974" s="3" t="s">
        <v>2627</v>
      </c>
      <c r="C2974" s="3" t="str">
        <f>"文秀改"</f>
        <v>文秀改</v>
      </c>
      <c r="D2974" s="3" t="s">
        <v>2673</v>
      </c>
    </row>
    <row r="2975" spans="1:4" ht="24.75" customHeight="1">
      <c r="A2975" s="3" t="str">
        <f>"34892021110409395542488"</f>
        <v>34892021110409395542488</v>
      </c>
      <c r="B2975" s="3" t="s">
        <v>2627</v>
      </c>
      <c r="C2975" s="3" t="str">
        <f>"吴莹莹"</f>
        <v>吴莹莹</v>
      </c>
      <c r="D2975" s="3" t="s">
        <v>2674</v>
      </c>
    </row>
    <row r="2976" spans="1:4" ht="24.75" customHeight="1">
      <c r="A2976" s="3" t="str">
        <f>"34892021110409450742512"</f>
        <v>34892021110409450742512</v>
      </c>
      <c r="B2976" s="3" t="s">
        <v>2627</v>
      </c>
      <c r="C2976" s="3" t="str">
        <f>"李家锋"</f>
        <v>李家锋</v>
      </c>
      <c r="D2976" s="3" t="s">
        <v>2675</v>
      </c>
    </row>
    <row r="2977" spans="1:4" ht="24.75" customHeight="1">
      <c r="A2977" s="3" t="str">
        <f>"34892021110409464542513"</f>
        <v>34892021110409464542513</v>
      </c>
      <c r="B2977" s="3" t="s">
        <v>2627</v>
      </c>
      <c r="C2977" s="3" t="str">
        <f>"陈宽娜"</f>
        <v>陈宽娜</v>
      </c>
      <c r="D2977" s="3" t="s">
        <v>2676</v>
      </c>
    </row>
    <row r="2978" spans="1:4" ht="24.75" customHeight="1">
      <c r="A2978" s="3" t="str">
        <f>"34892021110409484342518"</f>
        <v>34892021110409484342518</v>
      </c>
      <c r="B2978" s="3" t="s">
        <v>2627</v>
      </c>
      <c r="C2978" s="3" t="str">
        <f>"曾联妹"</f>
        <v>曾联妹</v>
      </c>
      <c r="D2978" s="3" t="s">
        <v>1332</v>
      </c>
    </row>
    <row r="2979" spans="1:4" ht="24.75" customHeight="1">
      <c r="A2979" s="3" t="str">
        <f>"34892021110409535342534"</f>
        <v>34892021110409535342534</v>
      </c>
      <c r="B2979" s="3" t="s">
        <v>2627</v>
      </c>
      <c r="C2979" s="3" t="str">
        <f>"翁诗星"</f>
        <v>翁诗星</v>
      </c>
      <c r="D2979" s="3" t="s">
        <v>2677</v>
      </c>
    </row>
    <row r="2980" spans="1:4" ht="24.75" customHeight="1">
      <c r="A2980" s="3" t="str">
        <f>"34892021110410014942559"</f>
        <v>34892021110410014942559</v>
      </c>
      <c r="B2980" s="3" t="s">
        <v>2627</v>
      </c>
      <c r="C2980" s="3" t="str">
        <f>"王元姣"</f>
        <v>王元姣</v>
      </c>
      <c r="D2980" s="3" t="s">
        <v>2678</v>
      </c>
    </row>
    <row r="2981" spans="1:4" ht="24.75" customHeight="1">
      <c r="A2981" s="3" t="str">
        <f>"34892021110410261542638"</f>
        <v>34892021110410261542638</v>
      </c>
      <c r="B2981" s="3" t="s">
        <v>2627</v>
      </c>
      <c r="C2981" s="3" t="str">
        <f>"杨红"</f>
        <v>杨红</v>
      </c>
      <c r="D2981" s="3" t="s">
        <v>2679</v>
      </c>
    </row>
    <row r="2982" spans="1:4" ht="24.75" customHeight="1">
      <c r="A2982" s="3" t="str">
        <f>"34892021110410282342646"</f>
        <v>34892021110410282342646</v>
      </c>
      <c r="B2982" s="3" t="s">
        <v>2627</v>
      </c>
      <c r="C2982" s="3" t="str">
        <f>"王小红"</f>
        <v>王小红</v>
      </c>
      <c r="D2982" s="3" t="s">
        <v>677</v>
      </c>
    </row>
    <row r="2983" spans="1:4" ht="24.75" customHeight="1">
      <c r="A2983" s="3" t="str">
        <f>"34892021110410461042724"</f>
        <v>34892021110410461042724</v>
      </c>
      <c r="B2983" s="3" t="s">
        <v>2627</v>
      </c>
      <c r="C2983" s="3" t="str">
        <f>"陈智慧"</f>
        <v>陈智慧</v>
      </c>
      <c r="D2983" s="3" t="s">
        <v>212</v>
      </c>
    </row>
    <row r="2984" spans="1:4" ht="24.75" customHeight="1">
      <c r="A2984" s="3" t="str">
        <f>"34892021110410555442753"</f>
        <v>34892021110410555442753</v>
      </c>
      <c r="B2984" s="3" t="s">
        <v>2627</v>
      </c>
      <c r="C2984" s="3" t="str">
        <f>"谢伟绩"</f>
        <v>谢伟绩</v>
      </c>
      <c r="D2984" s="3" t="s">
        <v>729</v>
      </c>
    </row>
    <row r="2985" spans="1:4" ht="24.75" customHeight="1">
      <c r="A2985" s="3" t="str">
        <f>"34892021110411460942908"</f>
        <v>34892021110411460942908</v>
      </c>
      <c r="B2985" s="3" t="s">
        <v>2627</v>
      </c>
      <c r="C2985" s="3" t="str">
        <f>"赵香颖"</f>
        <v>赵香颖</v>
      </c>
      <c r="D2985" s="3" t="s">
        <v>2680</v>
      </c>
    </row>
    <row r="2986" spans="1:4" ht="24.75" customHeight="1">
      <c r="A2986" s="3" t="str">
        <f>"34892021110413260243088"</f>
        <v>34892021110413260243088</v>
      </c>
      <c r="B2986" s="3" t="s">
        <v>2627</v>
      </c>
      <c r="C2986" s="3" t="str">
        <f>"张玉芳"</f>
        <v>张玉芳</v>
      </c>
      <c r="D2986" s="3" t="s">
        <v>2681</v>
      </c>
    </row>
    <row r="2987" spans="1:4" ht="24.75" customHeight="1">
      <c r="A2987" s="3" t="str">
        <f>"34892021110413575743134"</f>
        <v>34892021110413575743134</v>
      </c>
      <c r="B2987" s="3" t="s">
        <v>2627</v>
      </c>
      <c r="C2987" s="3" t="str">
        <f>"韩诗琦"</f>
        <v>韩诗琦</v>
      </c>
      <c r="D2987" s="3" t="s">
        <v>2682</v>
      </c>
    </row>
    <row r="2988" spans="1:4" ht="24.75" customHeight="1">
      <c r="A2988" s="3" t="str">
        <f>"34892021110414341343192"</f>
        <v>34892021110414341343192</v>
      </c>
      <c r="B2988" s="3" t="s">
        <v>2627</v>
      </c>
      <c r="C2988" s="3" t="str">
        <f>"潘饶瑶"</f>
        <v>潘饶瑶</v>
      </c>
      <c r="D2988" s="3" t="s">
        <v>294</v>
      </c>
    </row>
    <row r="2989" spans="1:4" ht="24.75" customHeight="1">
      <c r="A2989" s="3" t="str">
        <f>"34892021110414455943223"</f>
        <v>34892021110414455943223</v>
      </c>
      <c r="B2989" s="3" t="s">
        <v>2627</v>
      </c>
      <c r="C2989" s="3" t="str">
        <f>"谭红转"</f>
        <v>谭红转</v>
      </c>
      <c r="D2989" s="3" t="s">
        <v>981</v>
      </c>
    </row>
    <row r="2990" spans="1:4" ht="24.75" customHeight="1">
      <c r="A2990" s="3" t="str">
        <f>"34892021110415115443286"</f>
        <v>34892021110415115443286</v>
      </c>
      <c r="B2990" s="3" t="s">
        <v>2627</v>
      </c>
      <c r="C2990" s="3" t="str">
        <f>"王馨漫"</f>
        <v>王馨漫</v>
      </c>
      <c r="D2990" s="3" t="s">
        <v>2683</v>
      </c>
    </row>
    <row r="2991" spans="1:4" ht="24.75" customHeight="1">
      <c r="A2991" s="3" t="str">
        <f>"34892021110416565343574"</f>
        <v>34892021110416565343574</v>
      </c>
      <c r="B2991" s="3" t="s">
        <v>2627</v>
      </c>
      <c r="C2991" s="3" t="str">
        <f>"潘垂唐"</f>
        <v>潘垂唐</v>
      </c>
      <c r="D2991" s="3" t="s">
        <v>305</v>
      </c>
    </row>
    <row r="2992" spans="1:4" ht="24.75" customHeight="1">
      <c r="A2992" s="3" t="str">
        <f>"34892021110417301743642"</f>
        <v>34892021110417301743642</v>
      </c>
      <c r="B2992" s="3" t="s">
        <v>2627</v>
      </c>
      <c r="C2992" s="3" t="str">
        <f>"吴红艳"</f>
        <v>吴红艳</v>
      </c>
      <c r="D2992" s="3" t="s">
        <v>2684</v>
      </c>
    </row>
    <row r="2993" spans="1:4" ht="24.75" customHeight="1">
      <c r="A2993" s="3" t="str">
        <f>"34892021110417364843654"</f>
        <v>34892021110417364843654</v>
      </c>
      <c r="B2993" s="3" t="s">
        <v>2627</v>
      </c>
      <c r="C2993" s="3" t="str">
        <f>"徐蔓菲"</f>
        <v>徐蔓菲</v>
      </c>
      <c r="D2993" s="3" t="s">
        <v>2685</v>
      </c>
    </row>
    <row r="2994" spans="1:4" ht="24.75" customHeight="1">
      <c r="A2994" s="3" t="str">
        <f>"34892021110418070843713"</f>
        <v>34892021110418070843713</v>
      </c>
      <c r="B2994" s="3" t="s">
        <v>2627</v>
      </c>
      <c r="C2994" s="3" t="str">
        <f>"吴冰"</f>
        <v>吴冰</v>
      </c>
      <c r="D2994" s="3" t="s">
        <v>2686</v>
      </c>
    </row>
    <row r="2995" spans="1:4" ht="24.75" customHeight="1">
      <c r="A2995" s="3" t="str">
        <f>"34892021110418345043759"</f>
        <v>34892021110418345043759</v>
      </c>
      <c r="B2995" s="3" t="s">
        <v>2627</v>
      </c>
      <c r="C2995" s="3" t="str">
        <f>"董耀"</f>
        <v>董耀</v>
      </c>
      <c r="D2995" s="3" t="s">
        <v>2687</v>
      </c>
    </row>
    <row r="2996" spans="1:4" ht="24.75" customHeight="1">
      <c r="A2996" s="3" t="str">
        <f>"34892021110418355443761"</f>
        <v>34892021110418355443761</v>
      </c>
      <c r="B2996" s="3" t="s">
        <v>2627</v>
      </c>
      <c r="C2996" s="3" t="str">
        <f>"陈奕新"</f>
        <v>陈奕新</v>
      </c>
      <c r="D2996" s="3" t="s">
        <v>2688</v>
      </c>
    </row>
    <row r="2997" spans="1:4" ht="24.75" customHeight="1">
      <c r="A2997" s="3" t="str">
        <f>"34892021110418371843763"</f>
        <v>34892021110418371843763</v>
      </c>
      <c r="B2997" s="3" t="s">
        <v>2627</v>
      </c>
      <c r="C2997" s="3" t="str">
        <f>"戴祖圣"</f>
        <v>戴祖圣</v>
      </c>
      <c r="D2997" s="3" t="s">
        <v>771</v>
      </c>
    </row>
    <row r="2998" spans="1:4" ht="24.75" customHeight="1">
      <c r="A2998" s="3" t="str">
        <f>"34892021110418550643788"</f>
        <v>34892021110418550643788</v>
      </c>
      <c r="B2998" s="3" t="s">
        <v>2627</v>
      </c>
      <c r="C2998" s="3" t="str">
        <f>"黄国玲"</f>
        <v>黄国玲</v>
      </c>
      <c r="D2998" s="3" t="s">
        <v>2689</v>
      </c>
    </row>
    <row r="2999" spans="1:4" ht="24.75" customHeight="1">
      <c r="A2999" s="3" t="str">
        <f>"34892021110419145043821"</f>
        <v>34892021110419145043821</v>
      </c>
      <c r="B2999" s="3" t="s">
        <v>2627</v>
      </c>
      <c r="C2999" s="3" t="str">
        <f>"徐志明"</f>
        <v>徐志明</v>
      </c>
      <c r="D2999" s="3" t="s">
        <v>2690</v>
      </c>
    </row>
    <row r="3000" spans="1:4" ht="24.75" customHeight="1">
      <c r="A3000" s="3" t="str">
        <f>"34892021110419232643833"</f>
        <v>34892021110419232643833</v>
      </c>
      <c r="B3000" s="3" t="s">
        <v>2627</v>
      </c>
      <c r="C3000" s="3" t="str">
        <f>"陈积漫"</f>
        <v>陈积漫</v>
      </c>
      <c r="D3000" s="3" t="s">
        <v>2691</v>
      </c>
    </row>
    <row r="3001" spans="1:4" ht="24.75" customHeight="1">
      <c r="A3001" s="3" t="str">
        <f>"34892021110420502744004"</f>
        <v>34892021110420502744004</v>
      </c>
      <c r="B3001" s="3" t="s">
        <v>2627</v>
      </c>
      <c r="C3001" s="3" t="str">
        <f>"吴清菲"</f>
        <v>吴清菲</v>
      </c>
      <c r="D3001" s="3" t="s">
        <v>2692</v>
      </c>
    </row>
    <row r="3002" spans="1:4" ht="24.75" customHeight="1">
      <c r="A3002" s="3" t="str">
        <f>"34892021110421184344076"</f>
        <v>34892021110421184344076</v>
      </c>
      <c r="B3002" s="3" t="s">
        <v>2627</v>
      </c>
      <c r="C3002" s="3" t="str">
        <f>"郑儒城"</f>
        <v>郑儒城</v>
      </c>
      <c r="D3002" s="3" t="s">
        <v>474</v>
      </c>
    </row>
    <row r="3003" spans="1:4" ht="24.75" customHeight="1">
      <c r="A3003" s="3" t="str">
        <f>"34892021110422270044214"</f>
        <v>34892021110422270044214</v>
      </c>
      <c r="B3003" s="3" t="s">
        <v>2627</v>
      </c>
      <c r="C3003" s="3" t="str">
        <f>"陈起鹏"</f>
        <v>陈起鹏</v>
      </c>
      <c r="D3003" s="3" t="s">
        <v>2693</v>
      </c>
    </row>
    <row r="3004" spans="1:4" ht="24.75" customHeight="1">
      <c r="A3004" s="3" t="str">
        <f>"34892021110422285744217"</f>
        <v>34892021110422285744217</v>
      </c>
      <c r="B3004" s="3" t="s">
        <v>2627</v>
      </c>
      <c r="C3004" s="3" t="str">
        <f>"符秋桃"</f>
        <v>符秋桃</v>
      </c>
      <c r="D3004" s="3" t="s">
        <v>1033</v>
      </c>
    </row>
    <row r="3005" spans="1:4" ht="24.75" customHeight="1">
      <c r="A3005" s="3" t="str">
        <f>"34892021110423043444283"</f>
        <v>34892021110423043444283</v>
      </c>
      <c r="B3005" s="3" t="s">
        <v>2627</v>
      </c>
      <c r="C3005" s="3" t="str">
        <f>"羊玉秋"</f>
        <v>羊玉秋</v>
      </c>
      <c r="D3005" s="3" t="s">
        <v>2694</v>
      </c>
    </row>
    <row r="3006" spans="1:4" ht="24.75" customHeight="1">
      <c r="A3006" s="3" t="str">
        <f>"34892021110508222144433"</f>
        <v>34892021110508222144433</v>
      </c>
      <c r="B3006" s="3" t="s">
        <v>2627</v>
      </c>
      <c r="C3006" s="3" t="str">
        <f>"毛映晖"</f>
        <v>毛映晖</v>
      </c>
      <c r="D3006" s="3" t="s">
        <v>846</v>
      </c>
    </row>
    <row r="3007" spans="1:4" ht="24.75" customHeight="1">
      <c r="A3007" s="3" t="str">
        <f>"34892021110508404044467"</f>
        <v>34892021110508404044467</v>
      </c>
      <c r="B3007" s="3" t="s">
        <v>2627</v>
      </c>
      <c r="C3007" s="3" t="str">
        <f>"林杨"</f>
        <v>林杨</v>
      </c>
      <c r="D3007" s="3" t="s">
        <v>2695</v>
      </c>
    </row>
    <row r="3008" spans="1:4" ht="24.75" customHeight="1">
      <c r="A3008" s="3" t="str">
        <f>"34892021110509160044545"</f>
        <v>34892021110509160044545</v>
      </c>
      <c r="B3008" s="3" t="s">
        <v>2627</v>
      </c>
      <c r="C3008" s="3" t="str">
        <f>"李悦 "</f>
        <v>李悦 </v>
      </c>
      <c r="D3008" s="3" t="s">
        <v>2696</v>
      </c>
    </row>
    <row r="3009" spans="1:4" ht="24.75" customHeight="1">
      <c r="A3009" s="3" t="str">
        <f>"34892021110509273544579"</f>
        <v>34892021110509273544579</v>
      </c>
      <c r="B3009" s="3" t="s">
        <v>2627</v>
      </c>
      <c r="C3009" s="3" t="str">
        <f>"周士达"</f>
        <v>周士达</v>
      </c>
      <c r="D3009" s="3" t="s">
        <v>2697</v>
      </c>
    </row>
    <row r="3010" spans="1:4" ht="24.75" customHeight="1">
      <c r="A3010" s="3" t="str">
        <f>"34892021110510504244808"</f>
        <v>34892021110510504244808</v>
      </c>
      <c r="B3010" s="3" t="s">
        <v>2627</v>
      </c>
      <c r="C3010" s="3" t="str">
        <f>"林树森"</f>
        <v>林树森</v>
      </c>
      <c r="D3010" s="3" t="s">
        <v>2698</v>
      </c>
    </row>
    <row r="3011" spans="1:4" ht="24.75" customHeight="1">
      <c r="A3011" s="3" t="str">
        <f>"34892021110511045344843"</f>
        <v>34892021110511045344843</v>
      </c>
      <c r="B3011" s="3" t="s">
        <v>2627</v>
      </c>
      <c r="C3011" s="3" t="str">
        <f>"杨晓江"</f>
        <v>杨晓江</v>
      </c>
      <c r="D3011" s="3" t="s">
        <v>2699</v>
      </c>
    </row>
    <row r="3012" spans="1:4" ht="24.75" customHeight="1">
      <c r="A3012" s="3" t="str">
        <f>"34892021110515173445381"</f>
        <v>34892021110515173445381</v>
      </c>
      <c r="B3012" s="3" t="s">
        <v>2627</v>
      </c>
      <c r="C3012" s="3" t="str">
        <f>"梁昌琴"</f>
        <v>梁昌琴</v>
      </c>
      <c r="D3012" s="3" t="s">
        <v>2700</v>
      </c>
    </row>
    <row r="3013" spans="1:4" ht="24.75" customHeight="1">
      <c r="A3013" s="3" t="str">
        <f>"34892021110515180445384"</f>
        <v>34892021110515180445384</v>
      </c>
      <c r="B3013" s="3" t="s">
        <v>2627</v>
      </c>
      <c r="C3013" s="3" t="str">
        <f>"刘珊"</f>
        <v>刘珊</v>
      </c>
      <c r="D3013" s="3" t="s">
        <v>2701</v>
      </c>
    </row>
    <row r="3014" spans="1:4" ht="24.75" customHeight="1">
      <c r="A3014" s="3" t="str">
        <f>"34892021110515224945403"</f>
        <v>34892021110515224945403</v>
      </c>
      <c r="B3014" s="3" t="s">
        <v>2627</v>
      </c>
      <c r="C3014" s="3" t="str">
        <f>"李阳"</f>
        <v>李阳</v>
      </c>
      <c r="D3014" s="3" t="s">
        <v>2702</v>
      </c>
    </row>
    <row r="3015" spans="1:4" ht="24.75" customHeight="1">
      <c r="A3015" s="3" t="str">
        <f>"34892021110515491945508"</f>
        <v>34892021110515491945508</v>
      </c>
      <c r="B3015" s="3" t="s">
        <v>2627</v>
      </c>
      <c r="C3015" s="3" t="str">
        <f>"王娜霞"</f>
        <v>王娜霞</v>
      </c>
      <c r="D3015" s="3" t="s">
        <v>530</v>
      </c>
    </row>
    <row r="3016" spans="1:4" ht="24.75" customHeight="1">
      <c r="A3016" s="3" t="str">
        <f>"34892021110520020345827"</f>
        <v>34892021110520020345827</v>
      </c>
      <c r="B3016" s="3" t="s">
        <v>2627</v>
      </c>
      <c r="C3016" s="3" t="str">
        <f>"陈珠"</f>
        <v>陈珠</v>
      </c>
      <c r="D3016" s="3" t="s">
        <v>2703</v>
      </c>
    </row>
    <row r="3017" spans="1:4" ht="24.75" customHeight="1">
      <c r="A3017" s="3" t="str">
        <f>"34892021110521032845878"</f>
        <v>34892021110521032845878</v>
      </c>
      <c r="B3017" s="3" t="s">
        <v>2627</v>
      </c>
      <c r="C3017" s="3" t="str">
        <f>"黄贵博"</f>
        <v>黄贵博</v>
      </c>
      <c r="D3017" s="3" t="s">
        <v>2704</v>
      </c>
    </row>
    <row r="3018" spans="1:4" ht="24.75" customHeight="1">
      <c r="A3018" s="3" t="str">
        <f>"34892021110523054945986"</f>
        <v>34892021110523054945986</v>
      </c>
      <c r="B3018" s="3" t="s">
        <v>2627</v>
      </c>
      <c r="C3018" s="3" t="str">
        <f>"刘大源"</f>
        <v>刘大源</v>
      </c>
      <c r="D3018" s="3" t="s">
        <v>2705</v>
      </c>
    </row>
    <row r="3019" spans="1:4" ht="24.75" customHeight="1">
      <c r="A3019" s="3" t="str">
        <f>"34892021110523545246020"</f>
        <v>34892021110523545246020</v>
      </c>
      <c r="B3019" s="3" t="s">
        <v>2627</v>
      </c>
      <c r="C3019" s="3" t="str">
        <f>"王尧韦"</f>
        <v>王尧韦</v>
      </c>
      <c r="D3019" s="3" t="s">
        <v>2706</v>
      </c>
    </row>
    <row r="3020" spans="1:4" ht="24.75" customHeight="1">
      <c r="A3020" s="3" t="str">
        <f>"34892021110601320346044"</f>
        <v>34892021110601320346044</v>
      </c>
      <c r="B3020" s="3" t="s">
        <v>2627</v>
      </c>
      <c r="C3020" s="3" t="str">
        <f>"刘泽威"</f>
        <v>刘泽威</v>
      </c>
      <c r="D3020" s="3" t="s">
        <v>2707</v>
      </c>
    </row>
    <row r="3021" spans="1:4" ht="24.75" customHeight="1">
      <c r="A3021" s="3" t="str">
        <f>"34892021110611085846162"</f>
        <v>34892021110611085846162</v>
      </c>
      <c r="B3021" s="3" t="s">
        <v>2627</v>
      </c>
      <c r="C3021" s="3" t="str">
        <f>"王秋波"</f>
        <v>王秋波</v>
      </c>
      <c r="D3021" s="3" t="s">
        <v>2708</v>
      </c>
    </row>
    <row r="3022" spans="1:4" ht="24.75" customHeight="1">
      <c r="A3022" s="3" t="str">
        <f>"34892021110611091246163"</f>
        <v>34892021110611091246163</v>
      </c>
      <c r="B3022" s="3" t="s">
        <v>2627</v>
      </c>
      <c r="C3022" s="3" t="str">
        <f>"黎潘汉"</f>
        <v>黎潘汉</v>
      </c>
      <c r="D3022" s="3" t="s">
        <v>2709</v>
      </c>
    </row>
    <row r="3023" spans="1:4" ht="24.75" customHeight="1">
      <c r="A3023" s="3" t="str">
        <f>"34892021110613292546261"</f>
        <v>34892021110613292546261</v>
      </c>
      <c r="B3023" s="3" t="s">
        <v>2627</v>
      </c>
      <c r="C3023" s="3" t="str">
        <f>"孙玉玲"</f>
        <v>孙玉玲</v>
      </c>
      <c r="D3023" s="3" t="s">
        <v>2710</v>
      </c>
    </row>
    <row r="3024" spans="1:4" ht="24.75" customHeight="1">
      <c r="A3024" s="3" t="str">
        <f>"34892021110613531946269"</f>
        <v>34892021110613531946269</v>
      </c>
      <c r="B3024" s="3" t="s">
        <v>2627</v>
      </c>
      <c r="C3024" s="3" t="str">
        <f>"卢运芳"</f>
        <v>卢运芳</v>
      </c>
      <c r="D3024" s="3" t="s">
        <v>2711</v>
      </c>
    </row>
    <row r="3025" spans="1:4" ht="24.75" customHeight="1">
      <c r="A3025" s="3" t="str">
        <f>"34892021110617430446416"</f>
        <v>34892021110617430446416</v>
      </c>
      <c r="B3025" s="3" t="s">
        <v>2627</v>
      </c>
      <c r="C3025" s="3" t="str">
        <f>"傅碧夏"</f>
        <v>傅碧夏</v>
      </c>
      <c r="D3025" s="3" t="s">
        <v>2712</v>
      </c>
    </row>
    <row r="3026" spans="1:4" ht="24.75" customHeight="1">
      <c r="A3026" s="3" t="str">
        <f>"34892021110618223646433"</f>
        <v>34892021110618223646433</v>
      </c>
      <c r="B3026" s="3" t="s">
        <v>2627</v>
      </c>
      <c r="C3026" s="3" t="str">
        <f>"林燕青"</f>
        <v>林燕青</v>
      </c>
      <c r="D3026" s="3" t="s">
        <v>757</v>
      </c>
    </row>
    <row r="3027" spans="1:4" ht="24.75" customHeight="1">
      <c r="A3027" s="3" t="str">
        <f>"34892021110619141846460"</f>
        <v>34892021110619141846460</v>
      </c>
      <c r="B3027" s="3" t="s">
        <v>2627</v>
      </c>
      <c r="C3027" s="3" t="str">
        <f>"梁志超"</f>
        <v>梁志超</v>
      </c>
      <c r="D3027" s="3" t="s">
        <v>2713</v>
      </c>
    </row>
    <row r="3028" spans="1:4" ht="24.75" customHeight="1">
      <c r="A3028" s="3" t="str">
        <f>"34892021110621135346516"</f>
        <v>34892021110621135346516</v>
      </c>
      <c r="B3028" s="3" t="s">
        <v>2627</v>
      </c>
      <c r="C3028" s="3" t="str">
        <f>"李娟"</f>
        <v>李娟</v>
      </c>
      <c r="D3028" s="3" t="s">
        <v>228</v>
      </c>
    </row>
    <row r="3029" spans="1:4" ht="24.75" customHeight="1">
      <c r="A3029" s="3" t="str">
        <f>"34892021110702210746653"</f>
        <v>34892021110702210746653</v>
      </c>
      <c r="B3029" s="3" t="s">
        <v>2627</v>
      </c>
      <c r="C3029" s="3" t="str">
        <f>"吴艾薇"</f>
        <v>吴艾薇</v>
      </c>
      <c r="D3029" s="3" t="s">
        <v>2714</v>
      </c>
    </row>
    <row r="3030" spans="1:4" ht="24.75" customHeight="1">
      <c r="A3030" s="3" t="str">
        <f>"34892021110716322346945"</f>
        <v>34892021110716322346945</v>
      </c>
      <c r="B3030" s="3" t="s">
        <v>2627</v>
      </c>
      <c r="C3030" s="3" t="str">
        <f>"苏江云"</f>
        <v>苏江云</v>
      </c>
      <c r="D3030" s="3" t="s">
        <v>2715</v>
      </c>
    </row>
    <row r="3031" spans="1:4" ht="24.75" customHeight="1">
      <c r="A3031" s="3" t="str">
        <f>"34892021110717364746987"</f>
        <v>34892021110717364746987</v>
      </c>
      <c r="B3031" s="3" t="s">
        <v>2627</v>
      </c>
      <c r="C3031" s="3" t="str">
        <f>"陈鹏飞"</f>
        <v>陈鹏飞</v>
      </c>
      <c r="D3031" s="3" t="s">
        <v>252</v>
      </c>
    </row>
    <row r="3032" spans="1:4" ht="24.75" customHeight="1">
      <c r="A3032" s="3" t="str">
        <f>"34892021110719494747066"</f>
        <v>34892021110719494747066</v>
      </c>
      <c r="B3032" s="3" t="s">
        <v>2627</v>
      </c>
      <c r="C3032" s="3" t="str">
        <f>"徐红颜"</f>
        <v>徐红颜</v>
      </c>
      <c r="D3032" s="3" t="s">
        <v>2279</v>
      </c>
    </row>
    <row r="3033" spans="1:4" ht="24.75" customHeight="1">
      <c r="A3033" s="3" t="str">
        <f>"34892021110721565747160"</f>
        <v>34892021110721565747160</v>
      </c>
      <c r="B3033" s="3" t="s">
        <v>2627</v>
      </c>
      <c r="C3033" s="3" t="str">
        <f>"王丽霞"</f>
        <v>王丽霞</v>
      </c>
      <c r="D3033" s="3" t="s">
        <v>315</v>
      </c>
    </row>
    <row r="3034" spans="1:4" ht="24.75" customHeight="1">
      <c r="A3034" s="3" t="str">
        <f>"34892021110723234747235"</f>
        <v>34892021110723234747235</v>
      </c>
      <c r="B3034" s="3" t="s">
        <v>2627</v>
      </c>
      <c r="C3034" s="3" t="str">
        <f>"郑曼玲"</f>
        <v>郑曼玲</v>
      </c>
      <c r="D3034" s="3" t="s">
        <v>2716</v>
      </c>
    </row>
    <row r="3035" spans="1:4" ht="24.75" customHeight="1">
      <c r="A3035" s="3" t="str">
        <f>"34892021110808162547298"</f>
        <v>34892021110808162547298</v>
      </c>
      <c r="B3035" s="3" t="s">
        <v>2627</v>
      </c>
      <c r="C3035" s="3" t="str">
        <f>"王宏胜"</f>
        <v>王宏胜</v>
      </c>
      <c r="D3035" s="3" t="s">
        <v>2717</v>
      </c>
    </row>
    <row r="3036" spans="1:4" ht="24.75" customHeight="1">
      <c r="A3036" s="3" t="str">
        <f>"34892021110808531547343"</f>
        <v>34892021110808531547343</v>
      </c>
      <c r="B3036" s="3" t="s">
        <v>2627</v>
      </c>
      <c r="C3036" s="3" t="str">
        <f>"王伟"</f>
        <v>王伟</v>
      </c>
      <c r="D3036" s="3" t="s">
        <v>2718</v>
      </c>
    </row>
    <row r="3037" spans="1:4" ht="24.75" customHeight="1">
      <c r="A3037" s="3" t="str">
        <f>"34892021110810285047497"</f>
        <v>34892021110810285047497</v>
      </c>
      <c r="B3037" s="3" t="s">
        <v>2627</v>
      </c>
      <c r="C3037" s="3" t="str">
        <f>"王腾"</f>
        <v>王腾</v>
      </c>
      <c r="D3037" s="3" t="s">
        <v>1608</v>
      </c>
    </row>
    <row r="3038" spans="1:4" ht="24.75" customHeight="1">
      <c r="A3038" s="3" t="str">
        <f>"34892021110810290347498"</f>
        <v>34892021110810290347498</v>
      </c>
      <c r="B3038" s="3" t="s">
        <v>2627</v>
      </c>
      <c r="C3038" s="3" t="str">
        <f>"吴媚"</f>
        <v>吴媚</v>
      </c>
      <c r="D3038" s="3" t="s">
        <v>2719</v>
      </c>
    </row>
    <row r="3039" spans="1:4" ht="24.75" customHeight="1">
      <c r="A3039" s="3" t="str">
        <f>"34892021110811432847614"</f>
        <v>34892021110811432847614</v>
      </c>
      <c r="B3039" s="3" t="s">
        <v>2627</v>
      </c>
      <c r="C3039" s="3" t="str">
        <f>"宋晓晓"</f>
        <v>宋晓晓</v>
      </c>
      <c r="D3039" s="3" t="s">
        <v>2720</v>
      </c>
    </row>
    <row r="3040" spans="1:4" ht="24.75" customHeight="1">
      <c r="A3040" s="3" t="str">
        <f>"34892021110812354647685"</f>
        <v>34892021110812354647685</v>
      </c>
      <c r="B3040" s="3" t="s">
        <v>2627</v>
      </c>
      <c r="C3040" s="3" t="str">
        <f>"李日韬"</f>
        <v>李日韬</v>
      </c>
      <c r="D3040" s="3" t="s">
        <v>1690</v>
      </c>
    </row>
    <row r="3041" spans="1:4" ht="24.75" customHeight="1">
      <c r="A3041" s="3" t="str">
        <f>"34892021110812531547707"</f>
        <v>34892021110812531547707</v>
      </c>
      <c r="B3041" s="3" t="s">
        <v>2627</v>
      </c>
      <c r="C3041" s="3" t="str">
        <f>"羊井桃"</f>
        <v>羊井桃</v>
      </c>
      <c r="D3041" s="3" t="s">
        <v>1926</v>
      </c>
    </row>
    <row r="3042" spans="1:4" ht="24.75" customHeight="1">
      <c r="A3042" s="3" t="str">
        <f>"34892021110814543947826"</f>
        <v>34892021110814543947826</v>
      </c>
      <c r="B3042" s="3" t="s">
        <v>2627</v>
      </c>
      <c r="C3042" s="3" t="str">
        <f>"彭海娟"</f>
        <v>彭海娟</v>
      </c>
      <c r="D3042" s="3" t="s">
        <v>2721</v>
      </c>
    </row>
    <row r="3043" spans="1:4" ht="24.75" customHeight="1">
      <c r="A3043" s="3" t="str">
        <f>"34892021110814570347829"</f>
        <v>34892021110814570347829</v>
      </c>
      <c r="B3043" s="3" t="s">
        <v>2627</v>
      </c>
      <c r="C3043" s="3" t="str">
        <f>"陈晓红"</f>
        <v>陈晓红</v>
      </c>
      <c r="D3043" s="3" t="s">
        <v>2722</v>
      </c>
    </row>
    <row r="3044" spans="1:4" ht="24.75" customHeight="1">
      <c r="A3044" s="3" t="str">
        <f>"34892021110815480147906"</f>
        <v>34892021110815480147906</v>
      </c>
      <c r="B3044" s="3" t="s">
        <v>2627</v>
      </c>
      <c r="C3044" s="3" t="str">
        <f>"羊强进"</f>
        <v>羊强进</v>
      </c>
      <c r="D3044" s="3" t="s">
        <v>2723</v>
      </c>
    </row>
    <row r="3045" spans="1:4" ht="24.75" customHeight="1">
      <c r="A3045" s="3" t="str">
        <f>"34892021110816245447966"</f>
        <v>34892021110816245447966</v>
      </c>
      <c r="B3045" s="3" t="s">
        <v>2627</v>
      </c>
      <c r="C3045" s="3" t="str">
        <f>"林明发"</f>
        <v>林明发</v>
      </c>
      <c r="D3045" s="3" t="s">
        <v>2724</v>
      </c>
    </row>
    <row r="3046" spans="1:4" ht="24.75" customHeight="1">
      <c r="A3046" s="3" t="str">
        <f>"34892021110817271348061"</f>
        <v>34892021110817271348061</v>
      </c>
      <c r="B3046" s="3" t="s">
        <v>2627</v>
      </c>
      <c r="C3046" s="3" t="str">
        <f>"林保棉"</f>
        <v>林保棉</v>
      </c>
      <c r="D3046" s="3" t="s">
        <v>2725</v>
      </c>
    </row>
    <row r="3047" spans="1:4" ht="24.75" customHeight="1">
      <c r="A3047" s="3" t="str">
        <f>"34892021110818140848131"</f>
        <v>34892021110818140848131</v>
      </c>
      <c r="B3047" s="3" t="s">
        <v>2627</v>
      </c>
      <c r="C3047" s="3" t="str">
        <f>"罗冰"</f>
        <v>罗冰</v>
      </c>
      <c r="D3047" s="3" t="s">
        <v>2726</v>
      </c>
    </row>
    <row r="3048" spans="1:4" ht="24.75" customHeight="1">
      <c r="A3048" s="3" t="str">
        <f>"34892021110818573148177"</f>
        <v>34892021110818573148177</v>
      </c>
      <c r="B3048" s="3" t="s">
        <v>2627</v>
      </c>
      <c r="C3048" s="3" t="str">
        <f>"罗小曼 "</f>
        <v>罗小曼 </v>
      </c>
      <c r="D3048" s="3" t="s">
        <v>1298</v>
      </c>
    </row>
    <row r="3049" spans="1:4" ht="24.75" customHeight="1">
      <c r="A3049" s="3" t="str">
        <f>"34892021110819260048213"</f>
        <v>34892021110819260048213</v>
      </c>
      <c r="B3049" s="3" t="s">
        <v>2627</v>
      </c>
      <c r="C3049" s="3" t="str">
        <f>"王雅秀"</f>
        <v>王雅秀</v>
      </c>
      <c r="D3049" s="3" t="s">
        <v>2727</v>
      </c>
    </row>
    <row r="3050" spans="1:4" ht="24.75" customHeight="1">
      <c r="A3050" s="3" t="str">
        <f>"34892021110820563948380"</f>
        <v>34892021110820563948380</v>
      </c>
      <c r="B3050" s="3" t="s">
        <v>2627</v>
      </c>
      <c r="C3050" s="3" t="str">
        <f>"刘文攀"</f>
        <v>刘文攀</v>
      </c>
      <c r="D3050" s="3" t="s">
        <v>2728</v>
      </c>
    </row>
    <row r="3051" spans="1:4" ht="24.75" customHeight="1">
      <c r="A3051" s="3" t="str">
        <f>"34892021110821400648469"</f>
        <v>34892021110821400648469</v>
      </c>
      <c r="B3051" s="3" t="s">
        <v>2627</v>
      </c>
      <c r="C3051" s="3" t="str">
        <f>"庄燕美"</f>
        <v>庄燕美</v>
      </c>
      <c r="D3051" s="3" t="s">
        <v>2729</v>
      </c>
    </row>
    <row r="3052" spans="1:4" ht="24.75" customHeight="1">
      <c r="A3052" s="3" t="str">
        <f>"34892021110821575448496"</f>
        <v>34892021110821575448496</v>
      </c>
      <c r="B3052" s="3" t="s">
        <v>2627</v>
      </c>
      <c r="C3052" s="3" t="str">
        <f>"林彬"</f>
        <v>林彬</v>
      </c>
      <c r="D3052" s="3" t="s">
        <v>1571</v>
      </c>
    </row>
    <row r="3053" spans="1:4" ht="24.75" customHeight="1">
      <c r="A3053" s="3" t="str">
        <f>"34892021110822312648558"</f>
        <v>34892021110822312648558</v>
      </c>
      <c r="B3053" s="3" t="s">
        <v>2627</v>
      </c>
      <c r="C3053" s="3" t="str">
        <f>"陈泽伟"</f>
        <v>陈泽伟</v>
      </c>
      <c r="D3053" s="3" t="s">
        <v>2730</v>
      </c>
    </row>
    <row r="3054" spans="1:4" ht="24.75" customHeight="1">
      <c r="A3054" s="3" t="str">
        <f>"34892021110823040248613"</f>
        <v>34892021110823040248613</v>
      </c>
      <c r="B3054" s="3" t="s">
        <v>2627</v>
      </c>
      <c r="C3054" s="3" t="str">
        <f>"王川炳"</f>
        <v>王川炳</v>
      </c>
      <c r="D3054" s="3" t="s">
        <v>2731</v>
      </c>
    </row>
    <row r="3055" spans="1:4" ht="24.75" customHeight="1">
      <c r="A3055" s="3" t="str">
        <f>"34892021110909083048816"</f>
        <v>34892021110909083048816</v>
      </c>
      <c r="B3055" s="3" t="s">
        <v>2627</v>
      </c>
      <c r="C3055" s="3" t="str">
        <f>"王芳姑"</f>
        <v>王芳姑</v>
      </c>
      <c r="D3055" s="3" t="s">
        <v>2732</v>
      </c>
    </row>
    <row r="3056" spans="1:4" ht="24.75" customHeight="1">
      <c r="A3056" s="3" t="str">
        <f>"34892021110909122948826"</f>
        <v>34892021110909122948826</v>
      </c>
      <c r="B3056" s="3" t="s">
        <v>2627</v>
      </c>
      <c r="C3056" s="3" t="str">
        <f>"王盈"</f>
        <v>王盈</v>
      </c>
      <c r="D3056" s="3" t="s">
        <v>2733</v>
      </c>
    </row>
    <row r="3057" spans="1:4" ht="24.75" customHeight="1">
      <c r="A3057" s="3" t="str">
        <f>"34892021110909193648838"</f>
        <v>34892021110909193648838</v>
      </c>
      <c r="B3057" s="3" t="s">
        <v>2627</v>
      </c>
      <c r="C3057" s="3" t="str">
        <f>"唐喜秀"</f>
        <v>唐喜秀</v>
      </c>
      <c r="D3057" s="3" t="s">
        <v>636</v>
      </c>
    </row>
    <row r="3058" spans="1:4" ht="24.75" customHeight="1">
      <c r="A3058" s="3" t="str">
        <f>"34892021110909280948854"</f>
        <v>34892021110909280948854</v>
      </c>
      <c r="B3058" s="3" t="s">
        <v>2627</v>
      </c>
      <c r="C3058" s="3" t="str">
        <f>"邓丕魏"</f>
        <v>邓丕魏</v>
      </c>
      <c r="D3058" s="3" t="s">
        <v>2734</v>
      </c>
    </row>
    <row r="3059" spans="1:4" ht="24.75" customHeight="1">
      <c r="A3059" s="3" t="str">
        <f>"34892021110910144948940"</f>
        <v>34892021110910144948940</v>
      </c>
      <c r="B3059" s="3" t="s">
        <v>2627</v>
      </c>
      <c r="C3059" s="3" t="str">
        <f>"陈娆"</f>
        <v>陈娆</v>
      </c>
      <c r="D3059" s="3" t="s">
        <v>1311</v>
      </c>
    </row>
    <row r="3060" spans="1:4" ht="24.75" customHeight="1">
      <c r="A3060" s="3" t="str">
        <f>"34892021110911112649039"</f>
        <v>34892021110911112649039</v>
      </c>
      <c r="B3060" s="3" t="s">
        <v>2627</v>
      </c>
      <c r="C3060" s="3" t="str">
        <f>"陈俊锦"</f>
        <v>陈俊锦</v>
      </c>
      <c r="D3060" s="3" t="s">
        <v>2735</v>
      </c>
    </row>
    <row r="3061" spans="1:4" ht="24.75" customHeight="1">
      <c r="A3061" s="3" t="str">
        <f>"34892021110911485149101"</f>
        <v>34892021110911485149101</v>
      </c>
      <c r="B3061" s="3" t="s">
        <v>2627</v>
      </c>
      <c r="C3061" s="3" t="str">
        <f>"蔡蕾"</f>
        <v>蔡蕾</v>
      </c>
      <c r="D3061" s="3" t="s">
        <v>2736</v>
      </c>
    </row>
    <row r="3062" spans="1:4" ht="24.75" customHeight="1">
      <c r="A3062" s="3" t="str">
        <f>"34892021110911554049106"</f>
        <v>34892021110911554049106</v>
      </c>
      <c r="B3062" s="3" t="s">
        <v>2627</v>
      </c>
      <c r="C3062" s="3" t="str">
        <f>"张礼敏"</f>
        <v>张礼敏</v>
      </c>
      <c r="D3062" s="3" t="s">
        <v>939</v>
      </c>
    </row>
    <row r="3063" spans="1:4" ht="24.75" customHeight="1">
      <c r="A3063" s="3" t="str">
        <f>"34892021110912292049126"</f>
        <v>34892021110912292049126</v>
      </c>
      <c r="B3063" s="3" t="s">
        <v>2627</v>
      </c>
      <c r="C3063" s="3" t="str">
        <f>"蒙昱臻"</f>
        <v>蒙昱臻</v>
      </c>
      <c r="D3063" s="3" t="s">
        <v>2737</v>
      </c>
    </row>
    <row r="3064" spans="1:4" ht="24.75" customHeight="1">
      <c r="A3064" s="3" t="str">
        <f>"34892021110913163649175"</f>
        <v>34892021110913163649175</v>
      </c>
      <c r="B3064" s="3" t="s">
        <v>2627</v>
      </c>
      <c r="C3064" s="3" t="str">
        <f>"吴川权"</f>
        <v>吴川权</v>
      </c>
      <c r="D3064" s="3" t="s">
        <v>2738</v>
      </c>
    </row>
    <row r="3065" spans="1:4" ht="24.75" customHeight="1">
      <c r="A3065" s="3" t="str">
        <f>"34892021110914065849201"</f>
        <v>34892021110914065849201</v>
      </c>
      <c r="B3065" s="3" t="s">
        <v>2627</v>
      </c>
      <c r="C3065" s="3" t="str">
        <f>"黄肖凤"</f>
        <v>黄肖凤</v>
      </c>
      <c r="D3065" s="3" t="s">
        <v>2739</v>
      </c>
    </row>
    <row r="3066" spans="1:4" ht="24.75" customHeight="1">
      <c r="A3066" s="3" t="str">
        <f>"34892021110309071837533"</f>
        <v>34892021110309071837533</v>
      </c>
      <c r="B3066" s="3" t="s">
        <v>2740</v>
      </c>
      <c r="C3066" s="3" t="str">
        <f>"黄佳佳"</f>
        <v>黄佳佳</v>
      </c>
      <c r="D3066" s="3" t="s">
        <v>2741</v>
      </c>
    </row>
    <row r="3067" spans="1:4" ht="24.75" customHeight="1">
      <c r="A3067" s="3" t="str">
        <f>"34892021110309164937618"</f>
        <v>34892021110309164937618</v>
      </c>
      <c r="B3067" s="3" t="s">
        <v>2740</v>
      </c>
      <c r="C3067" s="3" t="str">
        <f>"文小静"</f>
        <v>文小静</v>
      </c>
      <c r="D3067" s="3" t="s">
        <v>2742</v>
      </c>
    </row>
    <row r="3068" spans="1:4" ht="24.75" customHeight="1">
      <c r="A3068" s="3" t="str">
        <f>"34892021110309300337757"</f>
        <v>34892021110309300337757</v>
      </c>
      <c r="B3068" s="3" t="s">
        <v>2740</v>
      </c>
      <c r="C3068" s="3" t="str">
        <f>"卢桐"</f>
        <v>卢桐</v>
      </c>
      <c r="D3068" s="3" t="s">
        <v>1879</v>
      </c>
    </row>
    <row r="3069" spans="1:4" ht="24.75" customHeight="1">
      <c r="A3069" s="3" t="str">
        <f>"34892021110309402037856"</f>
        <v>34892021110309402037856</v>
      </c>
      <c r="B3069" s="3" t="s">
        <v>2740</v>
      </c>
      <c r="C3069" s="3" t="str">
        <f>"陈春霞"</f>
        <v>陈春霞</v>
      </c>
      <c r="D3069" s="3" t="s">
        <v>785</v>
      </c>
    </row>
    <row r="3070" spans="1:4" ht="24.75" customHeight="1">
      <c r="A3070" s="3" t="str">
        <f>"34892021110309580638013"</f>
        <v>34892021110309580638013</v>
      </c>
      <c r="B3070" s="3" t="s">
        <v>2740</v>
      </c>
      <c r="C3070" s="3" t="str">
        <f>"赵仙丽"</f>
        <v>赵仙丽</v>
      </c>
      <c r="D3070" s="3" t="s">
        <v>2743</v>
      </c>
    </row>
    <row r="3071" spans="1:4" ht="24.75" customHeight="1">
      <c r="A3071" s="3" t="str">
        <f>"34892021110310035438064"</f>
        <v>34892021110310035438064</v>
      </c>
      <c r="B3071" s="3" t="s">
        <v>2740</v>
      </c>
      <c r="C3071" s="3" t="str">
        <f>"陈静"</f>
        <v>陈静</v>
      </c>
      <c r="D3071" s="3" t="s">
        <v>2744</v>
      </c>
    </row>
    <row r="3072" spans="1:4" ht="24.75" customHeight="1">
      <c r="A3072" s="3" t="str">
        <f>"34892021110310123338159"</f>
        <v>34892021110310123338159</v>
      </c>
      <c r="B3072" s="3" t="s">
        <v>2740</v>
      </c>
      <c r="C3072" s="3" t="str">
        <f>"罗小妹"</f>
        <v>罗小妹</v>
      </c>
      <c r="D3072" s="3" t="s">
        <v>270</v>
      </c>
    </row>
    <row r="3073" spans="1:4" ht="24.75" customHeight="1">
      <c r="A3073" s="3" t="str">
        <f>"34892021110310290338317"</f>
        <v>34892021110310290338317</v>
      </c>
      <c r="B3073" s="3" t="s">
        <v>2740</v>
      </c>
      <c r="C3073" s="3" t="str">
        <f>"翁晓娟"</f>
        <v>翁晓娟</v>
      </c>
      <c r="D3073" s="3" t="s">
        <v>316</v>
      </c>
    </row>
    <row r="3074" spans="1:4" ht="24.75" customHeight="1">
      <c r="A3074" s="3" t="str">
        <f>"34892021110310365738387"</f>
        <v>34892021110310365738387</v>
      </c>
      <c r="B3074" s="3" t="s">
        <v>2740</v>
      </c>
      <c r="C3074" s="3" t="str">
        <f>"陈纪炎"</f>
        <v>陈纪炎</v>
      </c>
      <c r="D3074" s="3" t="s">
        <v>2745</v>
      </c>
    </row>
    <row r="3075" spans="1:4" ht="24.75" customHeight="1">
      <c r="A3075" s="3" t="str">
        <f>"34892021110310383738403"</f>
        <v>34892021110310383738403</v>
      </c>
      <c r="B3075" s="3" t="s">
        <v>2740</v>
      </c>
      <c r="C3075" s="3" t="str">
        <f>"李银"</f>
        <v>李银</v>
      </c>
      <c r="D3075" s="3" t="s">
        <v>2746</v>
      </c>
    </row>
    <row r="3076" spans="1:4" ht="24.75" customHeight="1">
      <c r="A3076" s="3" t="str">
        <f>"34892021110310580338568"</f>
        <v>34892021110310580338568</v>
      </c>
      <c r="B3076" s="3" t="s">
        <v>2740</v>
      </c>
      <c r="C3076" s="3" t="str">
        <f>"符赞正"</f>
        <v>符赞正</v>
      </c>
      <c r="D3076" s="3" t="s">
        <v>2747</v>
      </c>
    </row>
    <row r="3077" spans="1:4" ht="24.75" customHeight="1">
      <c r="A3077" s="3" t="str">
        <f>"34892021110311090838654"</f>
        <v>34892021110311090838654</v>
      </c>
      <c r="B3077" s="3" t="s">
        <v>2740</v>
      </c>
      <c r="C3077" s="3" t="str">
        <f>"李荣昌"</f>
        <v>李荣昌</v>
      </c>
      <c r="D3077" s="3" t="s">
        <v>2748</v>
      </c>
    </row>
    <row r="3078" spans="1:4" ht="24.75" customHeight="1">
      <c r="A3078" s="3" t="str">
        <f>"34892021110311151038698"</f>
        <v>34892021110311151038698</v>
      </c>
      <c r="B3078" s="3" t="s">
        <v>2740</v>
      </c>
      <c r="C3078" s="3" t="str">
        <f>"许鹏"</f>
        <v>许鹏</v>
      </c>
      <c r="D3078" s="3" t="s">
        <v>2749</v>
      </c>
    </row>
    <row r="3079" spans="1:4" ht="24.75" customHeight="1">
      <c r="A3079" s="3" t="str">
        <f>"34892021110311180038719"</f>
        <v>34892021110311180038719</v>
      </c>
      <c r="B3079" s="3" t="s">
        <v>2740</v>
      </c>
      <c r="C3079" s="3" t="str">
        <f>"李远安"</f>
        <v>李远安</v>
      </c>
      <c r="D3079" s="3" t="s">
        <v>2750</v>
      </c>
    </row>
    <row r="3080" spans="1:4" ht="24.75" customHeight="1">
      <c r="A3080" s="3" t="str">
        <f>"34892021110311325238831"</f>
        <v>34892021110311325238831</v>
      </c>
      <c r="B3080" s="3" t="s">
        <v>2740</v>
      </c>
      <c r="C3080" s="3" t="str">
        <f>"李梦怡"</f>
        <v>李梦怡</v>
      </c>
      <c r="D3080" s="3" t="s">
        <v>2751</v>
      </c>
    </row>
    <row r="3081" spans="1:4" ht="24.75" customHeight="1">
      <c r="A3081" s="3" t="str">
        <f>"34892021110312253939148"</f>
        <v>34892021110312253939148</v>
      </c>
      <c r="B3081" s="3" t="s">
        <v>2740</v>
      </c>
      <c r="C3081" s="3" t="str">
        <f>"傅昊"</f>
        <v>傅昊</v>
      </c>
      <c r="D3081" s="3" t="s">
        <v>2752</v>
      </c>
    </row>
    <row r="3082" spans="1:4" ht="24.75" customHeight="1">
      <c r="A3082" s="3" t="str">
        <f>"34892021110314444039993"</f>
        <v>34892021110314444039993</v>
      </c>
      <c r="B3082" s="3" t="s">
        <v>2740</v>
      </c>
      <c r="C3082" s="3" t="str">
        <f>"陈善勇"</f>
        <v>陈善勇</v>
      </c>
      <c r="D3082" s="3" t="s">
        <v>2753</v>
      </c>
    </row>
    <row r="3083" spans="1:4" ht="24.75" customHeight="1">
      <c r="A3083" s="3" t="str">
        <f>"34892021110314565940089"</f>
        <v>34892021110314565940089</v>
      </c>
      <c r="B3083" s="3" t="s">
        <v>2740</v>
      </c>
      <c r="C3083" s="3" t="str">
        <f>"王登"</f>
        <v>王登</v>
      </c>
      <c r="D3083" s="3" t="s">
        <v>2754</v>
      </c>
    </row>
    <row r="3084" spans="1:4" ht="24.75" customHeight="1">
      <c r="A3084" s="3" t="str">
        <f>"34892021110314581340099"</f>
        <v>34892021110314581340099</v>
      </c>
      <c r="B3084" s="3" t="s">
        <v>2740</v>
      </c>
      <c r="C3084" s="3" t="str">
        <f>"李向城"</f>
        <v>李向城</v>
      </c>
      <c r="D3084" s="3" t="s">
        <v>2755</v>
      </c>
    </row>
    <row r="3085" spans="1:4" ht="24.75" customHeight="1">
      <c r="A3085" s="3" t="str">
        <f>"34892021110315230840315"</f>
        <v>34892021110315230840315</v>
      </c>
      <c r="B3085" s="3" t="s">
        <v>2740</v>
      </c>
      <c r="C3085" s="3" t="str">
        <f>"郑祥花"</f>
        <v>郑祥花</v>
      </c>
      <c r="D3085" s="3" t="s">
        <v>1604</v>
      </c>
    </row>
    <row r="3086" spans="1:4" ht="24.75" customHeight="1">
      <c r="A3086" s="3" t="str">
        <f>"34892021110316073740643"</f>
        <v>34892021110316073740643</v>
      </c>
      <c r="B3086" s="3" t="s">
        <v>2740</v>
      </c>
      <c r="C3086" s="3" t="str">
        <f>"叶保燕"</f>
        <v>叶保燕</v>
      </c>
      <c r="D3086" s="3" t="s">
        <v>2756</v>
      </c>
    </row>
    <row r="3087" spans="1:4" ht="24.75" customHeight="1">
      <c r="A3087" s="3" t="str">
        <f>"34892021110317580641241"</f>
        <v>34892021110317580641241</v>
      </c>
      <c r="B3087" s="3" t="s">
        <v>2740</v>
      </c>
      <c r="C3087" s="3" t="str">
        <f>"蔡兴婷"</f>
        <v>蔡兴婷</v>
      </c>
      <c r="D3087" s="3" t="s">
        <v>2757</v>
      </c>
    </row>
    <row r="3088" spans="1:4" ht="24.75" customHeight="1">
      <c r="A3088" s="3" t="str">
        <f>"34892021110318085341262"</f>
        <v>34892021110318085341262</v>
      </c>
      <c r="B3088" s="3" t="s">
        <v>2740</v>
      </c>
      <c r="C3088" s="3" t="str">
        <f>"钟植标"</f>
        <v>钟植标</v>
      </c>
      <c r="D3088" s="3" t="s">
        <v>2758</v>
      </c>
    </row>
    <row r="3089" spans="1:4" ht="24.75" customHeight="1">
      <c r="A3089" s="3" t="str">
        <f>"34892021110321204941771"</f>
        <v>34892021110321204941771</v>
      </c>
      <c r="B3089" s="3" t="s">
        <v>2740</v>
      </c>
      <c r="C3089" s="3" t="str">
        <f>"许海蕾"</f>
        <v>许海蕾</v>
      </c>
      <c r="D3089" s="3" t="s">
        <v>661</v>
      </c>
    </row>
    <row r="3090" spans="1:4" ht="24.75" customHeight="1">
      <c r="A3090" s="3" t="str">
        <f>"34892021110411135342811"</f>
        <v>34892021110411135342811</v>
      </c>
      <c r="B3090" s="3" t="s">
        <v>2740</v>
      </c>
      <c r="C3090" s="3" t="str">
        <f>"唐慧慧"</f>
        <v>唐慧慧</v>
      </c>
      <c r="D3090" s="3" t="s">
        <v>1839</v>
      </c>
    </row>
    <row r="3091" spans="1:4" ht="24.75" customHeight="1">
      <c r="A3091" s="3" t="str">
        <f>"34892021110415102543279"</f>
        <v>34892021110415102543279</v>
      </c>
      <c r="B3091" s="3" t="s">
        <v>2740</v>
      </c>
      <c r="C3091" s="3" t="str">
        <f>"李营"</f>
        <v>李营</v>
      </c>
      <c r="D3091" s="3" t="s">
        <v>2759</v>
      </c>
    </row>
    <row r="3092" spans="1:4" ht="24.75" customHeight="1">
      <c r="A3092" s="3" t="str">
        <f>"34892021110415105143282"</f>
        <v>34892021110415105143282</v>
      </c>
      <c r="B3092" s="3" t="s">
        <v>2740</v>
      </c>
      <c r="C3092" s="3" t="str">
        <f>"卓毛朝"</f>
        <v>卓毛朝</v>
      </c>
      <c r="D3092" s="3" t="s">
        <v>2760</v>
      </c>
    </row>
    <row r="3093" spans="1:4" ht="24.75" customHeight="1">
      <c r="A3093" s="3" t="str">
        <f>"34892021110415461543385"</f>
        <v>34892021110415461543385</v>
      </c>
      <c r="B3093" s="3" t="s">
        <v>2740</v>
      </c>
      <c r="C3093" s="3" t="str">
        <f>"王世隆"</f>
        <v>王世隆</v>
      </c>
      <c r="D3093" s="3" t="s">
        <v>1661</v>
      </c>
    </row>
    <row r="3094" spans="1:4" ht="24.75" customHeight="1">
      <c r="A3094" s="3" t="str">
        <f>"34892021110416173843479"</f>
        <v>34892021110416173843479</v>
      </c>
      <c r="B3094" s="3" t="s">
        <v>2740</v>
      </c>
      <c r="C3094" s="3" t="str">
        <f>"文丽蔚"</f>
        <v>文丽蔚</v>
      </c>
      <c r="D3094" s="3" t="s">
        <v>2761</v>
      </c>
    </row>
    <row r="3095" spans="1:4" ht="24.75" customHeight="1">
      <c r="A3095" s="3" t="str">
        <f>"34892021110416401943533"</f>
        <v>34892021110416401943533</v>
      </c>
      <c r="B3095" s="3" t="s">
        <v>2740</v>
      </c>
      <c r="C3095" s="3" t="str">
        <f>"吴灿"</f>
        <v>吴灿</v>
      </c>
      <c r="D3095" s="3" t="s">
        <v>930</v>
      </c>
    </row>
    <row r="3096" spans="1:4" ht="24.75" customHeight="1">
      <c r="A3096" s="3" t="str">
        <f>"34892021110417442243672"</f>
        <v>34892021110417442243672</v>
      </c>
      <c r="B3096" s="3" t="s">
        <v>2740</v>
      </c>
      <c r="C3096" s="3" t="str">
        <f>"孙学新"</f>
        <v>孙学新</v>
      </c>
      <c r="D3096" s="3" t="s">
        <v>2762</v>
      </c>
    </row>
    <row r="3097" spans="1:4" ht="24.75" customHeight="1">
      <c r="A3097" s="3" t="str">
        <f>"34892021110417455243674"</f>
        <v>34892021110417455243674</v>
      </c>
      <c r="B3097" s="3" t="s">
        <v>2740</v>
      </c>
      <c r="C3097" s="3" t="str">
        <f>"秦娇嫩"</f>
        <v>秦娇嫩</v>
      </c>
      <c r="D3097" s="3" t="s">
        <v>85</v>
      </c>
    </row>
    <row r="3098" spans="1:4" ht="24.75" customHeight="1">
      <c r="A3098" s="3" t="str">
        <f>"34892021110501361144369"</f>
        <v>34892021110501361144369</v>
      </c>
      <c r="B3098" s="3" t="s">
        <v>2740</v>
      </c>
      <c r="C3098" s="3" t="str">
        <f>"曾敏"</f>
        <v>曾敏</v>
      </c>
      <c r="D3098" s="3" t="s">
        <v>2763</v>
      </c>
    </row>
    <row r="3099" spans="1:4" ht="24.75" customHeight="1">
      <c r="A3099" s="3" t="str">
        <f>"34892021110508210644426"</f>
        <v>34892021110508210644426</v>
      </c>
      <c r="B3099" s="3" t="s">
        <v>2740</v>
      </c>
      <c r="C3099" s="3" t="str">
        <f>"黎万师"</f>
        <v>黎万师</v>
      </c>
      <c r="D3099" s="3" t="s">
        <v>2764</v>
      </c>
    </row>
    <row r="3100" spans="1:4" ht="24.75" customHeight="1">
      <c r="A3100" s="3" t="str">
        <f>"34892021110510101144683"</f>
        <v>34892021110510101144683</v>
      </c>
      <c r="B3100" s="3" t="s">
        <v>2740</v>
      </c>
      <c r="C3100" s="3" t="str">
        <f>"陈柳"</f>
        <v>陈柳</v>
      </c>
      <c r="D3100" s="3" t="s">
        <v>2765</v>
      </c>
    </row>
    <row r="3101" spans="1:4" ht="24.75" customHeight="1">
      <c r="A3101" s="3" t="str">
        <f>"34892021110513090345109"</f>
        <v>34892021110513090345109</v>
      </c>
      <c r="B3101" s="3" t="s">
        <v>2740</v>
      </c>
      <c r="C3101" s="3" t="str">
        <f>"黎吉妹"</f>
        <v>黎吉妹</v>
      </c>
      <c r="D3101" s="3" t="s">
        <v>2766</v>
      </c>
    </row>
    <row r="3102" spans="1:4" ht="24.75" customHeight="1">
      <c r="A3102" s="3" t="str">
        <f>"34892021110520185545841"</f>
        <v>34892021110520185545841</v>
      </c>
      <c r="B3102" s="3" t="s">
        <v>2740</v>
      </c>
      <c r="C3102" s="3" t="str">
        <f>"郑倩钰"</f>
        <v>郑倩钰</v>
      </c>
      <c r="D3102" s="3" t="s">
        <v>2767</v>
      </c>
    </row>
    <row r="3103" spans="1:4" ht="24.75" customHeight="1">
      <c r="A3103" s="3" t="str">
        <f>"34892021110520592145875"</f>
        <v>34892021110520592145875</v>
      </c>
      <c r="B3103" s="3" t="s">
        <v>2740</v>
      </c>
      <c r="C3103" s="3" t="str">
        <f>"李小菲"</f>
        <v>李小菲</v>
      </c>
      <c r="D3103" s="3" t="s">
        <v>99</v>
      </c>
    </row>
    <row r="3104" spans="1:4" ht="24.75" customHeight="1">
      <c r="A3104" s="3" t="str">
        <f>"34892021110611181346171"</f>
        <v>34892021110611181346171</v>
      </c>
      <c r="B3104" s="3" t="s">
        <v>2740</v>
      </c>
      <c r="C3104" s="3" t="str">
        <f>"陈彬"</f>
        <v>陈彬</v>
      </c>
      <c r="D3104" s="3" t="s">
        <v>2768</v>
      </c>
    </row>
    <row r="3105" spans="1:4" ht="24.75" customHeight="1">
      <c r="A3105" s="3" t="str">
        <f>"34892021110709375746689"</f>
        <v>34892021110709375746689</v>
      </c>
      <c r="B3105" s="3" t="s">
        <v>2740</v>
      </c>
      <c r="C3105" s="3" t="str">
        <f>"林杰丹"</f>
        <v>林杰丹</v>
      </c>
      <c r="D3105" s="3" t="s">
        <v>56</v>
      </c>
    </row>
    <row r="3106" spans="1:4" ht="24.75" customHeight="1">
      <c r="A3106" s="3" t="str">
        <f>"34892021110712522746811"</f>
        <v>34892021110712522746811</v>
      </c>
      <c r="B3106" s="3" t="s">
        <v>2740</v>
      </c>
      <c r="C3106" s="3" t="str">
        <f>"苏凤妹"</f>
        <v>苏凤妹</v>
      </c>
      <c r="D3106" s="3" t="s">
        <v>2769</v>
      </c>
    </row>
    <row r="3107" spans="1:4" ht="24.75" customHeight="1">
      <c r="A3107" s="3" t="str">
        <f>"34892021110717054846967"</f>
        <v>34892021110717054846967</v>
      </c>
      <c r="B3107" s="3" t="s">
        <v>2740</v>
      </c>
      <c r="C3107" s="3" t="str">
        <f>"吴瑛琪"</f>
        <v>吴瑛琪</v>
      </c>
      <c r="D3107" s="3" t="s">
        <v>2770</v>
      </c>
    </row>
    <row r="3108" spans="1:4" ht="24.75" customHeight="1">
      <c r="A3108" s="3" t="str">
        <f>"34892021110719594547073"</f>
        <v>34892021110719594547073</v>
      </c>
      <c r="B3108" s="3" t="s">
        <v>2740</v>
      </c>
      <c r="C3108" s="3" t="str">
        <f>"吉保臣"</f>
        <v>吉保臣</v>
      </c>
      <c r="D3108" s="3" t="s">
        <v>2771</v>
      </c>
    </row>
    <row r="3109" spans="1:4" ht="24.75" customHeight="1">
      <c r="A3109" s="3" t="str">
        <f>"34892021110722090747170"</f>
        <v>34892021110722090747170</v>
      </c>
      <c r="B3109" s="3" t="s">
        <v>2740</v>
      </c>
      <c r="C3109" s="3" t="str">
        <f>"赵毓炎"</f>
        <v>赵毓炎</v>
      </c>
      <c r="D3109" s="3" t="s">
        <v>2772</v>
      </c>
    </row>
    <row r="3110" spans="1:4" ht="24.75" customHeight="1">
      <c r="A3110" s="3" t="str">
        <f>"34892021110812303847680"</f>
        <v>34892021110812303847680</v>
      </c>
      <c r="B3110" s="3" t="s">
        <v>2740</v>
      </c>
      <c r="C3110" s="3" t="str">
        <f>"郭文珍"</f>
        <v>郭文珍</v>
      </c>
      <c r="D3110" s="3" t="s">
        <v>2773</v>
      </c>
    </row>
    <row r="3111" spans="1:4" ht="24.75" customHeight="1">
      <c r="A3111" s="3" t="str">
        <f>"34892021110817071648037"</f>
        <v>34892021110817071648037</v>
      </c>
      <c r="B3111" s="3" t="s">
        <v>2740</v>
      </c>
      <c r="C3111" s="3" t="str">
        <f>"王娇婉"</f>
        <v>王娇婉</v>
      </c>
      <c r="D3111" s="3" t="s">
        <v>2774</v>
      </c>
    </row>
    <row r="3112" spans="1:4" ht="24.75" customHeight="1">
      <c r="A3112" s="3" t="str">
        <f>"34892021110817485248094"</f>
        <v>34892021110817485248094</v>
      </c>
      <c r="B3112" s="3" t="s">
        <v>2740</v>
      </c>
      <c r="C3112" s="3" t="str">
        <f>"陈威霖"</f>
        <v>陈威霖</v>
      </c>
      <c r="D3112" s="3" t="s">
        <v>2775</v>
      </c>
    </row>
    <row r="3113" spans="1:4" ht="24.75" customHeight="1">
      <c r="A3113" s="3" t="str">
        <f>"34892021110822212348542"</f>
        <v>34892021110822212348542</v>
      </c>
      <c r="B3113" s="3" t="s">
        <v>2740</v>
      </c>
      <c r="C3113" s="3" t="str">
        <f>"符加方"</f>
        <v>符加方</v>
      </c>
      <c r="D3113" s="3" t="s">
        <v>2776</v>
      </c>
    </row>
    <row r="3114" spans="1:4" ht="24.75" customHeight="1">
      <c r="A3114" s="3" t="str">
        <f>"34892021110900423448698"</f>
        <v>34892021110900423448698</v>
      </c>
      <c r="B3114" s="3" t="s">
        <v>2740</v>
      </c>
      <c r="C3114" s="3" t="str">
        <f>"丁紫欣"</f>
        <v>丁紫欣</v>
      </c>
      <c r="D3114" s="3" t="s">
        <v>2777</v>
      </c>
    </row>
    <row r="3115" spans="1:4" ht="24.75" customHeight="1">
      <c r="A3115" s="3" t="str">
        <f>"34892021110907131848734"</f>
        <v>34892021110907131848734</v>
      </c>
      <c r="B3115" s="3" t="s">
        <v>2740</v>
      </c>
      <c r="C3115" s="3" t="str">
        <f>"许雯怡"</f>
        <v>许雯怡</v>
      </c>
      <c r="D3115" s="3" t="s">
        <v>2778</v>
      </c>
    </row>
    <row r="3116" spans="1:4" ht="24.75" customHeight="1">
      <c r="A3116" s="3" t="str">
        <f>"34892021110908275948756"</f>
        <v>34892021110908275948756</v>
      </c>
      <c r="B3116" s="3" t="s">
        <v>2740</v>
      </c>
      <c r="C3116" s="3" t="str">
        <f>"陈小琴"</f>
        <v>陈小琴</v>
      </c>
      <c r="D3116" s="3" t="s">
        <v>2779</v>
      </c>
    </row>
    <row r="3117" spans="1:4" ht="24.75" customHeight="1">
      <c r="A3117" s="3" t="str">
        <f>"34892021110908423048778"</f>
        <v>34892021110908423048778</v>
      </c>
      <c r="B3117" s="3" t="s">
        <v>2740</v>
      </c>
      <c r="C3117" s="3" t="str">
        <f>"吉秋妍"</f>
        <v>吉秋妍</v>
      </c>
      <c r="D3117" s="3" t="s">
        <v>2780</v>
      </c>
    </row>
    <row r="3118" spans="1:4" ht="24.75" customHeight="1">
      <c r="A3118" s="3" t="str">
        <f>"34892021110908465248786"</f>
        <v>34892021110908465248786</v>
      </c>
      <c r="B3118" s="3" t="s">
        <v>2740</v>
      </c>
      <c r="C3118" s="3" t="str">
        <f>"骆梓晴"</f>
        <v>骆梓晴</v>
      </c>
      <c r="D3118" s="3" t="s">
        <v>1442</v>
      </c>
    </row>
    <row r="3119" spans="1:4" ht="24.75" customHeight="1">
      <c r="A3119" s="3" t="str">
        <f>"34892021110910165048947"</f>
        <v>34892021110910165048947</v>
      </c>
      <c r="B3119" s="3" t="s">
        <v>2740</v>
      </c>
      <c r="C3119" s="3" t="str">
        <f>"周小倩"</f>
        <v>周小倩</v>
      </c>
      <c r="D3119" s="3" t="s">
        <v>2781</v>
      </c>
    </row>
    <row r="3120" spans="1:4" ht="24.75" customHeight="1">
      <c r="A3120" s="3" t="str">
        <f>"34892021110911324849078"</f>
        <v>34892021110911324849078</v>
      </c>
      <c r="B3120" s="3" t="s">
        <v>2740</v>
      </c>
      <c r="C3120" s="3" t="str">
        <f>"杜林青"</f>
        <v>杜林青</v>
      </c>
      <c r="D3120" s="3" t="s">
        <v>2782</v>
      </c>
    </row>
    <row r="3121" spans="1:4" ht="24.75" customHeight="1">
      <c r="A3121" s="3" t="str">
        <f>"34892021110914572449241"</f>
        <v>34892021110914572449241</v>
      </c>
      <c r="B3121" s="3" t="s">
        <v>2740</v>
      </c>
      <c r="C3121" s="3" t="str">
        <f>"陈世珲"</f>
        <v>陈世珲</v>
      </c>
      <c r="D3121" s="3" t="s">
        <v>2783</v>
      </c>
    </row>
    <row r="3122" spans="1:4" ht="24.75" customHeight="1">
      <c r="A3122" s="3" t="str">
        <f>"34892021110916020649335"</f>
        <v>34892021110916020649335</v>
      </c>
      <c r="B3122" s="3" t="s">
        <v>2740</v>
      </c>
      <c r="C3122" s="3" t="str">
        <f>"陈聪华"</f>
        <v>陈聪华</v>
      </c>
      <c r="D3122" s="3" t="s">
        <v>2784</v>
      </c>
    </row>
    <row r="3123" spans="1:4" ht="24.75" customHeight="1">
      <c r="A3123" s="3" t="str">
        <f>"34892021110309243337693"</f>
        <v>34892021110309243337693</v>
      </c>
      <c r="B3123" s="3" t="s">
        <v>2785</v>
      </c>
      <c r="C3123" s="3" t="str">
        <f>"黄裕莹"</f>
        <v>黄裕莹</v>
      </c>
      <c r="D3123" s="3" t="s">
        <v>2786</v>
      </c>
    </row>
    <row r="3124" spans="1:4" ht="24.75" customHeight="1">
      <c r="A3124" s="3" t="str">
        <f>"34892021110309401237854"</f>
        <v>34892021110309401237854</v>
      </c>
      <c r="B3124" s="3" t="s">
        <v>2785</v>
      </c>
      <c r="C3124" s="3" t="str">
        <f>"李国攀"</f>
        <v>李国攀</v>
      </c>
      <c r="D3124" s="3" t="s">
        <v>2787</v>
      </c>
    </row>
    <row r="3125" spans="1:4" ht="24.75" customHeight="1">
      <c r="A3125" s="3" t="str">
        <f>"34892021110310105938143"</f>
        <v>34892021110310105938143</v>
      </c>
      <c r="B3125" s="3" t="s">
        <v>2785</v>
      </c>
      <c r="C3125" s="3" t="str">
        <f>"朱厚宣"</f>
        <v>朱厚宣</v>
      </c>
      <c r="D3125" s="3" t="s">
        <v>2788</v>
      </c>
    </row>
    <row r="3126" spans="1:4" ht="24.75" customHeight="1">
      <c r="A3126" s="3" t="str">
        <f>"34892021110310124138162"</f>
        <v>34892021110310124138162</v>
      </c>
      <c r="B3126" s="3" t="s">
        <v>2785</v>
      </c>
      <c r="C3126" s="3" t="str">
        <f>"陈泰松"</f>
        <v>陈泰松</v>
      </c>
      <c r="D3126" s="3" t="s">
        <v>2789</v>
      </c>
    </row>
    <row r="3127" spans="1:4" ht="24.75" customHeight="1">
      <c r="A3127" s="3" t="str">
        <f>"34892021110315180040270"</f>
        <v>34892021110315180040270</v>
      </c>
      <c r="B3127" s="3" t="s">
        <v>2785</v>
      </c>
      <c r="C3127" s="3" t="str">
        <f>"赵昱迪"</f>
        <v>赵昱迪</v>
      </c>
      <c r="D3127" s="3" t="s">
        <v>2790</v>
      </c>
    </row>
    <row r="3128" spans="1:4" ht="24.75" customHeight="1">
      <c r="A3128" s="3" t="str">
        <f>"34892021110317190541110"</f>
        <v>34892021110317190541110</v>
      </c>
      <c r="B3128" s="3" t="s">
        <v>2785</v>
      </c>
      <c r="C3128" s="3" t="str">
        <f>"王辉"</f>
        <v>王辉</v>
      </c>
      <c r="D3128" s="3" t="s">
        <v>2791</v>
      </c>
    </row>
    <row r="3129" spans="1:4" ht="24.75" customHeight="1">
      <c r="A3129" s="3" t="str">
        <f>"34892021110317512241225"</f>
        <v>34892021110317512241225</v>
      </c>
      <c r="B3129" s="3" t="s">
        <v>2785</v>
      </c>
      <c r="C3129" s="3" t="str">
        <f>"王润章"</f>
        <v>王润章</v>
      </c>
      <c r="D3129" s="3" t="s">
        <v>333</v>
      </c>
    </row>
    <row r="3130" spans="1:4" ht="24.75" customHeight="1">
      <c r="A3130" s="3" t="str">
        <f>"34892021110410112442581"</f>
        <v>34892021110410112442581</v>
      </c>
      <c r="B3130" s="3" t="s">
        <v>2785</v>
      </c>
      <c r="C3130" s="3" t="str">
        <f>"徐奇惠"</f>
        <v>徐奇惠</v>
      </c>
      <c r="D3130" s="3" t="s">
        <v>2792</v>
      </c>
    </row>
    <row r="3131" spans="1:4" ht="24.75" customHeight="1">
      <c r="A3131" s="3" t="str">
        <f>"34892021110418134543729"</f>
        <v>34892021110418134543729</v>
      </c>
      <c r="B3131" s="3" t="s">
        <v>2785</v>
      </c>
      <c r="C3131" s="3" t="str">
        <f>"庄礼捷"</f>
        <v>庄礼捷</v>
      </c>
      <c r="D3131" s="3" t="s">
        <v>2793</v>
      </c>
    </row>
    <row r="3132" spans="1:4" ht="24.75" customHeight="1">
      <c r="A3132" s="3" t="str">
        <f>"34892021110711155346760"</f>
        <v>34892021110711155346760</v>
      </c>
      <c r="B3132" s="3" t="s">
        <v>2785</v>
      </c>
      <c r="C3132" s="3" t="str">
        <f>"杜华美"</f>
        <v>杜华美</v>
      </c>
      <c r="D3132" s="3" t="s">
        <v>2794</v>
      </c>
    </row>
    <row r="3133" spans="1:4" ht="24.75" customHeight="1">
      <c r="A3133" s="3" t="str">
        <f>"34892021110720223947091"</f>
        <v>34892021110720223947091</v>
      </c>
      <c r="B3133" s="3" t="s">
        <v>2785</v>
      </c>
      <c r="C3133" s="3" t="str">
        <f>"王丽珍"</f>
        <v>王丽珍</v>
      </c>
      <c r="D3133" s="3" t="s">
        <v>2795</v>
      </c>
    </row>
    <row r="3134" spans="1:4" ht="24.75" customHeight="1">
      <c r="A3134" s="3" t="str">
        <f>"34892021110812560747710"</f>
        <v>34892021110812560747710</v>
      </c>
      <c r="B3134" s="3" t="s">
        <v>2785</v>
      </c>
      <c r="C3134" s="3" t="str">
        <f>"王海花"</f>
        <v>王海花</v>
      </c>
      <c r="D3134" s="3" t="s">
        <v>2796</v>
      </c>
    </row>
    <row r="3135" spans="1:4" ht="24.75" customHeight="1">
      <c r="A3135" s="3" t="str">
        <f>"34892021110815050247847"</f>
        <v>34892021110815050247847</v>
      </c>
      <c r="B3135" s="3" t="s">
        <v>2785</v>
      </c>
      <c r="C3135" s="3" t="str">
        <f>"裴保杰"</f>
        <v>裴保杰</v>
      </c>
      <c r="D3135" s="3" t="s">
        <v>2797</v>
      </c>
    </row>
  </sheetData>
  <sheetProtection/>
  <autoFilter ref="A2:C3135">
    <sortState ref="A3:C3135">
      <sortCondition sortBy="value" ref="B3:B3135"/>
    </sortState>
  </autoFilter>
  <mergeCells count="1">
    <mergeCell ref="A1:D1"/>
  </mergeCells>
  <printOptions/>
  <pageMargins left="0.4326388888888889" right="0.3541666666666667" top="0.3541666666666667" bottom="0.4326388888888889" header="0.3145833333333333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2021-11-15T01:51:21Z</dcterms:created>
  <dcterms:modified xsi:type="dcterms:W3CDTF">2021-11-15T03:16:07Z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653B5F13F15846FC965BAD13098EECC5</vt:lpwstr>
  </property>
  <property fmtid="{D5CDD505-2E9C-101B-9397-08002B2CF9AE}" pid="4" name="KSOProductBuildV">
    <vt:lpwstr>2052-11.8.2.8875</vt:lpwstr>
  </property>
</Properties>
</file>